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DieseArbeitsmappe" defaultThemeVersion="124226"/>
  <mc:AlternateContent xmlns:mc="http://schemas.openxmlformats.org/markup-compatibility/2006">
    <mc:Choice Requires="x15">
      <x15ac:absPath xmlns:x15ac="http://schemas.microsoft.com/office/spreadsheetml/2010/11/ac" url="F:\01_Kanzlei\Höllwarth\Excel Tabellen\"/>
    </mc:Choice>
  </mc:AlternateContent>
  <xr:revisionPtr revIDLastSave="0" documentId="13_ncr:1_{1E6957E9-E82A-4D83-8F35-E80AD3B96CCB}" xr6:coauthVersionLast="47" xr6:coauthVersionMax="47" xr10:uidLastSave="{00000000-0000-0000-0000-000000000000}"/>
  <bookViews>
    <workbookView xWindow="-108" yWindow="-108" windowWidth="23256" windowHeight="12576" xr2:uid="{00000000-000D-0000-FFFF-FFFF00000000}"/>
  </bookViews>
  <sheets>
    <sheet name="Kündigungsfristen_Rechner" sheetId="1" r:id="rId1"/>
    <sheet name="Künd_Frist" sheetId="2" state="hidden" r:id="rId2"/>
    <sheet name="Fristentab" sheetId="4" state="hidden" r:id="rId3"/>
  </sheets>
  <definedNames>
    <definedName name="DAT_EIN">Kündigungsfristen_Rechner!$E$11</definedName>
    <definedName name="DAT_END">Kündigungsfristen_Rechner!#REF!</definedName>
    <definedName name="DAT_FRIST_END">Kündigungsfristen_Rechner!$E$29</definedName>
    <definedName name="DAT_GEB">Kündigungsfristen_Rechner!$E$10</definedName>
    <definedName name="DAT_KÜND">Kündigungsfristen_Rechner!$E$16</definedName>
    <definedName name="DAT_KÜND_END">Kündigungsfristen_Rechner!$E$29</definedName>
    <definedName name="DAT_STICH">Künd_Frist!#REF!</definedName>
    <definedName name="_xlnm.Print_Area" localSheetId="2">Fristentab!$A$1:$G$132</definedName>
    <definedName name="_xlnm.Print_Area" localSheetId="1">Künd_Frist!$A$1:$F$82</definedName>
    <definedName name="_xlnm.Print_Area" localSheetId="0">Kündigungsfristen_Rechner!$A$1:$F$59</definedName>
    <definedName name="FRIST_ART">Kündigungsfristen_Rechner!$E$12</definedName>
    <definedName name="FRIST_DAUER">Kündigungsfristen_Rechner!#REF!</definedName>
    <definedName name="FRIST_ENDE">Kündigungsfristen_Rechner!$E$15</definedName>
    <definedName name="FRIST_WERT">Kündigungsfristen_Rechner!$E$14</definedName>
    <definedName name="FRISTEN_MATRIX">Künd_Frist!$A$56:$B$62</definedName>
    <definedName name="TAB_BAT">Fristentab!$C$44:$D$47</definedName>
    <definedName name="TAB_BGB">Fristentab!$C$18:$D$24</definedName>
    <definedName name="TAB_CHEMIE">Fristentab!$D$84:$E$86</definedName>
    <definedName name="TAB_EINZELHANDEL">Fristentab!$C$55:$D$59</definedName>
    <definedName name="TAB_HOGA">Fristentab!$C$68:$D$73</definedName>
    <definedName name="TAB_METALL">Fristentab!$C$34:$D$37</definedName>
    <definedName name="TAB_QUART">Fristentab!$C$1:$D$12</definedName>
    <definedName name="WOCHENFEIERTAGE">Fristentab!$B$95:$B$130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36" i="1" l="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E16" i="1" l="1"/>
  <c r="A31" i="2"/>
  <c r="A20" i="2"/>
  <c r="A13" i="2"/>
  <c r="B4" i="2" l="1"/>
  <c r="F5" i="2" l="1"/>
  <c r="AA21" i="1"/>
  <c r="AA22" i="1" s="1"/>
  <c r="AA23" i="1" s="1"/>
  <c r="AA24" i="1" s="1"/>
  <c r="AA25" i="1" s="1"/>
  <c r="AA26" i="1" s="1"/>
  <c r="AA27" i="1" s="1"/>
  <c r="AA28" i="1" s="1"/>
  <c r="AA29" i="1" s="1"/>
  <c r="AA30" i="1" s="1"/>
  <c r="AA31" i="1" s="1"/>
  <c r="AA32" i="1" s="1"/>
  <c r="AA33" i="1" s="1"/>
  <c r="AA34" i="1" s="1"/>
  <c r="AA35" i="1" s="1"/>
  <c r="AA36" i="1" s="1"/>
  <c r="AA37" i="1" s="1"/>
  <c r="AA38" i="1" s="1"/>
  <c r="AA39" i="1" s="1"/>
  <c r="AA40" i="1" s="1"/>
  <c r="AA41" i="1" l="1"/>
  <c r="AA42" i="1" s="1"/>
  <c r="AA43" i="1" s="1"/>
  <c r="AA44" i="1" s="1"/>
  <c r="AA47" i="1" s="1"/>
  <c r="AA48" i="1" s="1"/>
  <c r="AA49" i="1" s="1"/>
  <c r="Y17" i="1"/>
  <c r="F4" i="2"/>
  <c r="Y16" i="1"/>
  <c r="D19" i="1" s="1"/>
  <c r="E32" i="1"/>
  <c r="D20" i="1" l="1"/>
  <c r="B6" i="2"/>
  <c r="E27" i="1"/>
  <c r="B5" i="2" l="1"/>
  <c r="F35" i="2"/>
  <c r="E19" i="1"/>
  <c r="E20" i="1"/>
  <c r="C21" i="2"/>
  <c r="B8" i="2"/>
  <c r="C7" i="1"/>
  <c r="C8" i="2"/>
  <c r="B2" i="2"/>
  <c r="B40" i="2" l="1"/>
  <c r="B41" i="2" s="1"/>
  <c r="B3" i="2"/>
  <c r="F20" i="2"/>
  <c r="F33" i="2"/>
  <c r="F42" i="2"/>
  <c r="F43" i="2" s="1"/>
  <c r="F21" i="2"/>
  <c r="B10" i="2" l="1"/>
  <c r="B38" i="2"/>
  <c r="F45" i="2"/>
  <c r="F16" i="2"/>
  <c r="F31" i="2"/>
  <c r="F3" i="2"/>
  <c r="B15" i="2"/>
  <c r="B22" i="2"/>
  <c r="B23" i="2" s="1"/>
  <c r="F7" i="2"/>
  <c r="F8" i="2" s="1"/>
  <c r="F19" i="2"/>
  <c r="B47" i="2"/>
  <c r="F22" i="2"/>
  <c r="F23" i="2" s="1"/>
  <c r="B16" i="2" l="1"/>
  <c r="B17" i="2"/>
  <c r="B11" i="2"/>
  <c r="B12" i="2"/>
  <c r="F44" i="2"/>
  <c r="F24" i="2"/>
  <c r="F25" i="2" s="1"/>
  <c r="F26" i="2" s="1"/>
  <c r="B62" i="2" s="1"/>
  <c r="F36" i="2"/>
  <c r="F37" i="2" s="1"/>
  <c r="F38" i="2" s="1"/>
  <c r="B58" i="2" s="1"/>
  <c r="B39" i="2"/>
  <c r="E25" i="1" s="1"/>
  <c r="B42" i="2"/>
  <c r="B57" i="2" s="1"/>
  <c r="B24" i="2"/>
  <c r="B25" i="2"/>
  <c r="B26" i="2" s="1"/>
  <c r="B48" i="2"/>
  <c r="B49" i="2" s="1"/>
  <c r="B50" i="2" s="1"/>
  <c r="B52" i="2" s="1"/>
  <c r="F9" i="2"/>
  <c r="F11" i="2" s="1"/>
  <c r="B61" i="2" s="1"/>
  <c r="F46" i="2"/>
  <c r="F47" i="2" s="1"/>
  <c r="E28" i="1" l="1"/>
  <c r="E26" i="1"/>
  <c r="B31" i="2"/>
  <c r="F48" i="2"/>
  <c r="B59" i="2" s="1"/>
  <c r="B27" i="2"/>
  <c r="B28" i="2" s="1"/>
  <c r="B51" i="2"/>
  <c r="B53" i="2" s="1"/>
  <c r="B13" i="2" l="1"/>
  <c r="B32" i="2" s="1"/>
  <c r="D29" i="1"/>
  <c r="B29" i="2"/>
  <c r="B30" i="2" s="1"/>
  <c r="B18" i="2" l="1"/>
  <c r="B19" i="2" s="1"/>
  <c r="E24" i="1" l="1"/>
  <c r="E29" i="1" s="1"/>
  <c r="B20" i="2"/>
  <c r="E21" i="1" l="1"/>
  <c r="E31" i="1"/>
  <c r="E33" i="1" s="1"/>
  <c r="Y30" i="1"/>
  <c r="D31" i="1" s="1"/>
  <c r="E22" i="1"/>
  <c r="B7" i="2"/>
  <c r="E36" i="1" s="1"/>
  <c r="D22" i="1" l="1"/>
  <c r="D21" i="1"/>
  <c r="E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station12</author>
    <author>Kurt.Hoellwarth</author>
    <author>Kurt Hoellwarth</author>
  </authors>
  <commentList>
    <comment ref="E12" authorId="0" shapeId="0" xr:uid="{00000000-0006-0000-0000-000001000000}">
      <text>
        <r>
          <rPr>
            <sz val="9"/>
            <color indexed="81"/>
            <rFont val="Arial"/>
            <family val="2"/>
          </rPr>
          <t xml:space="preserve">Findet ein Tarifvertrag Anwendung, der nicht in der Liste enthalten ist, kann die Frist dieses TV alternativ unter den vertraglichen Fristen (Zellen D13:D15) eingegeben werden. </t>
        </r>
        <r>
          <rPr>
            <sz val="8"/>
            <color indexed="81"/>
            <rFont val="Arial"/>
            <family val="2"/>
          </rPr>
          <t xml:space="preserve">
</t>
        </r>
        <r>
          <rPr>
            <sz val="8"/>
            <color indexed="81"/>
            <rFont val="Tahoma"/>
            <family val="2"/>
          </rPr>
          <t xml:space="preserve">
</t>
        </r>
      </text>
    </comment>
    <comment ref="E29" authorId="1" shapeId="0" xr:uid="{487A87C2-D208-42B0-A7AA-8EF75F5664CC}">
      <text>
        <r>
          <rPr>
            <sz val="9"/>
            <color indexed="81"/>
            <rFont val="Arial"/>
            <family val="2"/>
          </rPr>
          <t>Bitte Anmerkung unten zum Günstigkeitsvergleich zwischen vertraglichen und gesetzlichen Fristen beachten.</t>
        </r>
      </text>
    </comment>
    <comment ref="E31" authorId="2" shapeId="0" xr:uid="{00000000-0006-0000-0000-000002000000}">
      <text>
        <r>
          <rPr>
            <sz val="9"/>
            <color indexed="81"/>
            <rFont val="Arial"/>
            <family val="2"/>
          </rPr>
          <t>Ausgehend von einer Fünf-Tage-Woche von Mo bis Frei. Berücksichtigt sind nur die in Ba-Wü geltenden Feiertage.</t>
        </r>
      </text>
    </comment>
  </commentList>
</comments>
</file>

<file path=xl/sharedStrings.xml><?xml version="1.0" encoding="utf-8"?>
<sst xmlns="http://schemas.openxmlformats.org/spreadsheetml/2006/main" count="262" uniqueCount="178">
  <si>
    <t>Name</t>
  </si>
  <si>
    <t>Geburtsdatum</t>
  </si>
  <si>
    <t>Eintrittsdatum</t>
  </si>
  <si>
    <t>Kündigungsfrist</t>
  </si>
  <si>
    <t>FRIST_ART</t>
  </si>
  <si>
    <t>zum</t>
  </si>
  <si>
    <t>Monatsende</t>
  </si>
  <si>
    <t>FRIST_WERT</t>
  </si>
  <si>
    <t>Fristende</t>
  </si>
  <si>
    <t>Jahre</t>
  </si>
  <si>
    <t>Frist nach Vertrag</t>
  </si>
  <si>
    <t>Eintritt</t>
  </si>
  <si>
    <t>Zugang</t>
  </si>
  <si>
    <t>Beschäftigung seit Eintritt in Jahren</t>
  </si>
  <si>
    <t>Beschäftigung seit Eintritt in Monaten</t>
  </si>
  <si>
    <t>Frist</t>
  </si>
  <si>
    <t>ab 25. LJ</t>
  </si>
  <si>
    <t>in Mon.</t>
  </si>
  <si>
    <t>&lt;2</t>
  </si>
  <si>
    <t>4 Wo</t>
  </si>
  <si>
    <t>zum ME</t>
  </si>
  <si>
    <t>Kündigungsfristen gem MTV Metallindustrie</t>
  </si>
  <si>
    <t>Angestellte</t>
  </si>
  <si>
    <t xml:space="preserve"> in Mon</t>
  </si>
  <si>
    <t>2 Wo</t>
  </si>
  <si>
    <t>3 Mon</t>
  </si>
  <si>
    <t>Jahre der Betriebszu- gehörigkeitab dem 25. Lebensjahr</t>
  </si>
  <si>
    <t>zum QE</t>
  </si>
  <si>
    <t>Ablauf in Wochen</t>
  </si>
  <si>
    <t>Ablauf in Monaten</t>
  </si>
  <si>
    <t>Ablauf wenn Monatsende</t>
  </si>
  <si>
    <t>Verlängerung wegen Quartal</t>
  </si>
  <si>
    <t>Ablaufdatum bei Quartalskündigung</t>
  </si>
  <si>
    <t>Verlängerung wegen Halbjahr</t>
  </si>
  <si>
    <t>Ablaufdatum bei Halbjahrskündigung</t>
  </si>
  <si>
    <t>Ablaufdatum bei Jahreskündigung</t>
  </si>
  <si>
    <t>(QUART_TAB)</t>
  </si>
  <si>
    <t>Quartalstabelle</t>
  </si>
  <si>
    <t>Frist nach § 622 BGB</t>
  </si>
  <si>
    <t>Kündigungsfrist in Monaten</t>
  </si>
  <si>
    <t>Ablaufdatum</t>
  </si>
  <si>
    <t>Ablauf 4 Wochen</t>
  </si>
  <si>
    <t>Korrektur 15./Monatsende</t>
  </si>
  <si>
    <t>Anwendbarer Tarifvertrag</t>
  </si>
  <si>
    <t>Frist nach Metall</t>
  </si>
  <si>
    <t>ab 5 Jahre</t>
  </si>
  <si>
    <t>Unkündbarkeit</t>
  </si>
  <si>
    <t>&lt;1</t>
  </si>
  <si>
    <t>6 Wo</t>
  </si>
  <si>
    <t>Ablauf bei unter 1</t>
  </si>
  <si>
    <t>Ablauf bei über 1 bis 4</t>
  </si>
  <si>
    <t>Ablauf 5 und mehr</t>
  </si>
  <si>
    <t>zutreffender Ablauf</t>
  </si>
  <si>
    <t>Korrekur Quartal</t>
  </si>
  <si>
    <t>Altersschutz</t>
  </si>
  <si>
    <t>Alter</t>
  </si>
  <si>
    <t>Beschäftigung</t>
  </si>
  <si>
    <t>Kündigungsfristen gem.        § 622 BGB</t>
  </si>
  <si>
    <t>1 Mon zum ME</t>
  </si>
  <si>
    <t xml:space="preserve">  </t>
  </si>
  <si>
    <t>Kündigungsfristen gem.        § 22 MTV Einzelhand. Ba-Wü</t>
  </si>
  <si>
    <t>einzelvertraglich Abweichung möglich</t>
  </si>
  <si>
    <t>dann mindestens 1 Monat</t>
  </si>
  <si>
    <t>Einzelhandel</t>
  </si>
  <si>
    <t>Frist nach Einzelhandel</t>
  </si>
  <si>
    <t>bis unter 5 Jahre</t>
  </si>
  <si>
    <t>tatsächliches Fristende</t>
  </si>
  <si>
    <t xml:space="preserve"> </t>
  </si>
  <si>
    <t>Kündigungsfristen gem.        MTV HoGa Bau-Wü</t>
  </si>
  <si>
    <t>4 Wo 15./letzter</t>
  </si>
  <si>
    <t xml:space="preserve">4 Wo </t>
  </si>
  <si>
    <t>Probezeitfristen</t>
  </si>
  <si>
    <t>gewerbliche</t>
  </si>
  <si>
    <t>3Tage</t>
  </si>
  <si>
    <t>3 Mon.</t>
  </si>
  <si>
    <t>6 Mon</t>
  </si>
  <si>
    <t>3 Tage</t>
  </si>
  <si>
    <t>7 Tage</t>
  </si>
  <si>
    <t>Frist nach HoGa</t>
  </si>
  <si>
    <t>Grundkündigungsfrist</t>
  </si>
  <si>
    <t>Quartalsende</t>
  </si>
  <si>
    <t>Ablauf wenn Wochenende</t>
  </si>
  <si>
    <t>Frist nach § 11 MTV Chemie</t>
  </si>
  <si>
    <t>Kündigungsfristen gem.        MTV Chemische Industrie</t>
  </si>
  <si>
    <t>Messzahl</t>
  </si>
  <si>
    <t>---</t>
  </si>
  <si>
    <t>Beschäftigungsjahre</t>
  </si>
  <si>
    <t>Fristablauf</t>
  </si>
  <si>
    <t>Korrektur nach Endtermin</t>
  </si>
  <si>
    <t>mögl. Verlängerung wegen Quartal</t>
  </si>
  <si>
    <t>keiner</t>
  </si>
  <si>
    <t>Ablauf in Tagen</t>
  </si>
  <si>
    <t>Tage</t>
  </si>
  <si>
    <t>Kündigungsfrist in Wochen oder Monaten</t>
  </si>
  <si>
    <t>Verlängerung bei Jahreskündigung</t>
  </si>
  <si>
    <t>Jahresende</t>
  </si>
  <si>
    <t>Beschäftigungszeit in Jahren</t>
  </si>
  <si>
    <t>Altersjahre</t>
  </si>
  <si>
    <t>Kündigungszugang</t>
  </si>
  <si>
    <t>Beschäftigte ERA</t>
  </si>
  <si>
    <t>Beschäftigungsmonate</t>
  </si>
  <si>
    <t>Monat(e)</t>
  </si>
  <si>
    <t>Monatsfristen</t>
  </si>
  <si>
    <t>TVÖD</t>
  </si>
  <si>
    <t>Ablauf bei Quartal</t>
  </si>
  <si>
    <t>Auswahl &lt;= 1 Jahr</t>
  </si>
  <si>
    <t>Hotel- und Gaststättengewerbe</t>
  </si>
  <si>
    <t>Wochenfeiertage</t>
  </si>
  <si>
    <t>Heilige Drei Könige</t>
  </si>
  <si>
    <t>Karfreitag</t>
  </si>
  <si>
    <t>Ostermontag</t>
  </si>
  <si>
    <t>Christi Himmelfahrt</t>
  </si>
  <si>
    <t>Pfingstmontag</t>
  </si>
  <si>
    <t>Fronleichnam</t>
  </si>
  <si>
    <t>Tag der Deutschen Einheit</t>
  </si>
  <si>
    <t>Allerheiligen</t>
  </si>
  <si>
    <t>1. Weihnachtstag</t>
  </si>
  <si>
    <t>2. Weihnachtstag</t>
  </si>
  <si>
    <t>anderer Tarifvertrag / weiß nicht</t>
  </si>
  <si>
    <t>Restliche Urlaubstage</t>
  </si>
  <si>
    <t>Letzter Arbeitstag bei Urlaubsgewährung</t>
  </si>
  <si>
    <t>abzugeltende Urlaubstage</t>
  </si>
  <si>
    <t>Wochenende</t>
  </si>
  <si>
    <t>Alter in Jahren</t>
  </si>
  <si>
    <t>Spalte B</t>
  </si>
  <si>
    <t>Spalte C</t>
  </si>
  <si>
    <t>Tage / Wochen / Monate</t>
  </si>
  <si>
    <t>Tarif</t>
  </si>
  <si>
    <t>Neujahr</t>
  </si>
  <si>
    <t>Kündigungsfristen-Rechner</t>
  </si>
  <si>
    <r>
      <t xml:space="preserve">Fristende nach </t>
    </r>
    <r>
      <rPr>
        <b/>
        <sz val="9"/>
        <rFont val="Arial"/>
        <family val="2"/>
      </rPr>
      <t>Vertrag</t>
    </r>
  </si>
  <si>
    <r>
      <rPr>
        <b/>
        <sz val="9"/>
        <rFont val="Arial"/>
        <family val="2"/>
      </rPr>
      <t xml:space="preserve">gesetzliche </t>
    </r>
    <r>
      <rPr>
        <sz val="9"/>
        <rFont val="Arial"/>
        <family val="2"/>
      </rPr>
      <t>Kündigungsfrist</t>
    </r>
  </si>
  <si>
    <r>
      <t>Fristende nach</t>
    </r>
    <r>
      <rPr>
        <b/>
        <sz val="9"/>
        <rFont val="Arial"/>
        <family val="2"/>
      </rPr>
      <t xml:space="preserve"> Tarif</t>
    </r>
  </si>
  <si>
    <t>Frist-
berech-
nung</t>
  </si>
  <si>
    <t>Alte bei Beendigung</t>
  </si>
  <si>
    <r>
      <t xml:space="preserve">gelbe Zellen bitte
</t>
    </r>
    <r>
      <rPr>
        <b/>
        <i/>
        <u/>
        <sz val="12"/>
        <rFont val="Arial"/>
        <family val="2"/>
      </rPr>
      <t>alle</t>
    </r>
    <r>
      <rPr>
        <i/>
        <sz val="12"/>
        <rFont val="Arial"/>
        <family val="2"/>
      </rPr>
      <t xml:space="preserve"> ausfüllen!</t>
    </r>
  </si>
  <si>
    <t>Rest-
arbeits-
tage</t>
  </si>
  <si>
    <t>Spalte D</t>
  </si>
  <si>
    <t>Ablauf in Monaten &gt;= 5 Jahre</t>
  </si>
  <si>
    <t xml:space="preserve">Ablauf </t>
  </si>
  <si>
    <t>persönl. Daten</t>
  </si>
  <si>
    <t>Kündigungsfrist nach Arbeitsvertrag</t>
  </si>
  <si>
    <t>Wochen</t>
  </si>
  <si>
    <t>FRIST_ENDE</t>
  </si>
  <si>
    <t>Billiger Rat kann richtig teuer werden! Gerade wenn's knifflig wird:</t>
  </si>
  <si>
    <t>Bei uns bekommen Sie für Ihr gutes Geld den richtigen Rat!</t>
  </si>
  <si>
    <t>Resturlaubstage bei Kündigungszugang</t>
  </si>
  <si>
    <t>Chemie-Industrie</t>
  </si>
  <si>
    <t>Metall-Industrie</t>
  </si>
  <si>
    <t>Frist nach TVÖD</t>
  </si>
  <si>
    <t>Kündigungsfristen gem.  
§ 34 TVÖD</t>
  </si>
  <si>
    <t>Fristen
nach Tarif
bzw. Arbeits-
Vertrag</t>
  </si>
  <si>
    <t>Alter und Betriebszu-
gehörigkeit</t>
  </si>
  <si>
    <t xml:space="preserve">                    Rechtsanwälte Gnann, Thauer &amp; Kollegen  |  Kanzlei für Arbeitsrecht | Die Arbeitnehmeranwälte</t>
  </si>
  <si>
    <t>Tagesende</t>
  </si>
  <si>
    <t>Tagesfristen</t>
  </si>
  <si>
    <t>zum Wochenende</t>
  </si>
  <si>
    <t>zum Monatsende</t>
  </si>
  <si>
    <t>Wochenfristen</t>
  </si>
  <si>
    <t xml:space="preserve">Neujahr </t>
  </si>
  <si>
    <t xml:space="preserve">Karfreitag </t>
  </si>
  <si>
    <t xml:space="preserve">Ostermontag </t>
  </si>
  <si>
    <t xml:space="preserve">Tag der Arbeit </t>
  </si>
  <si>
    <t xml:space="preserve">Christi Himmelfahrt </t>
  </si>
  <si>
    <t xml:space="preserve">Pfingstmontag </t>
  </si>
  <si>
    <t xml:space="preserve">Fronleichnam </t>
  </si>
  <si>
    <t xml:space="preserve">Mariä Himmelfahrt </t>
  </si>
  <si>
    <t xml:space="preserve">* Tag der Deutschen Einheit </t>
  </si>
  <si>
    <t xml:space="preserve">Allerheiligen </t>
  </si>
  <si>
    <t xml:space="preserve">1. Weihnachtstag </t>
  </si>
  <si>
    <t xml:space="preserve">2. Weihnachtstag </t>
  </si>
  <si>
    <t>Fristende nach § 622 BGB</t>
  </si>
  <si>
    <t>Max. Anspruch  Arbeitslosengeld (§ 147 SGB III)</t>
  </si>
  <si>
    <t>Reformationstag</t>
  </si>
  <si>
    <t>es gelten die gesetzl. Fristen</t>
  </si>
  <si>
    <t>ACHTUNG: Anmerkung unten</t>
  </si>
  <si>
    <t xml:space="preserve">                         Tel: 0761-70409-0 | Bertoldstr. 48 | 79098 Freiburg | www.arbeitsrecht24.com | info@arbeitsrecht24.com</t>
  </si>
  <si>
    <r>
      <rPr>
        <b/>
        <sz val="9"/>
        <rFont val="Arial"/>
        <family val="2"/>
      </rPr>
      <t xml:space="preserve">Wichtige Hinweise:
</t>
    </r>
    <r>
      <rPr>
        <sz val="9"/>
        <rFont val="Arial"/>
        <family val="2"/>
      </rPr>
      <t xml:space="preserve">
Findet ein anderer </t>
    </r>
    <r>
      <rPr>
        <b/>
        <sz val="9"/>
        <rFont val="Arial"/>
        <family val="2"/>
      </rPr>
      <t>Tarifvertrag</t>
    </r>
    <r>
      <rPr>
        <sz val="9"/>
        <rFont val="Arial"/>
        <family val="2"/>
      </rPr>
      <t xml:space="preserve"> Anwendung als in Zelle D12 aufgelistet oder ist unklar ob überhaupt ein Tarifvertrag Anwendung findet, kann die Kündigungsfrist in der Berechnungstabelle nicht korrekt ermittelt werden und wird in Zeile 29 nur die gesetzliche Frist berechnet. 
Ansonsten werden die Fristen berechnet, wie sie für eine </t>
    </r>
    <r>
      <rPr>
        <b/>
        <sz val="9"/>
        <rFont val="Arial"/>
        <family val="2"/>
      </rPr>
      <t>Kündigung durch den Arbeitgebe</t>
    </r>
    <r>
      <rPr>
        <sz val="9"/>
        <rFont val="Arial"/>
        <family val="2"/>
      </rPr>
      <t xml:space="preserve">r gelten. Für Kündigungen durch den Arbeitnehmer gilt, wenn vertraglich oder tarifvertraglich nichts anderes geregelt ist gem. 
§ 622 Abs. 1 BGB (http://bundesrecht.juris.de/bgb/__622.html), eine Frist von vier Wochen zum 15. oder zum Ende eines Monats. 
Einzelvertragliche Kündigungsfristen setzen sich beim </t>
    </r>
    <r>
      <rPr>
        <b/>
        <sz val="9"/>
        <rFont val="Arial"/>
        <family val="2"/>
      </rPr>
      <t>Günstigkeitsvergleich</t>
    </r>
    <r>
      <rPr>
        <sz val="9"/>
        <rFont val="Arial"/>
        <family val="2"/>
      </rPr>
      <t xml:space="preserve"> nur dann gegen gesetzliche Fristen durch, wenn sie unabhängig vom konkreten Kündigungstermin im gesamten Kalenderjahr günstiger sind. Das ist z.B. bei einer Kündigungsfrist von sechs Wochen zum Quartal bei einer gesetzlichen Kündigungsfrist von zwei Monaten zum Monatsende (Betriebszugehörigkeit &gt; 5 Jahre) nicht der Fall. Dieses Problem ist in der Berechnungstabelle nicht berücksichtigt!
Abgekürzte Kündigungsfristen während einer (ausdrücklich zu vereinbarenden) </t>
    </r>
    <r>
      <rPr>
        <b/>
        <sz val="9"/>
        <rFont val="Arial"/>
        <family val="2"/>
      </rPr>
      <t>Probezeit</t>
    </r>
    <r>
      <rPr>
        <sz val="9"/>
        <rFont val="Arial"/>
        <family val="2"/>
      </rPr>
      <t xml:space="preserve"> sind ebenso wenig berücksichtigt, wie der tarifvertragliche </t>
    </r>
    <r>
      <rPr>
        <b/>
        <sz val="9"/>
        <rFont val="Arial"/>
        <family val="2"/>
      </rPr>
      <t>Ausschluss der ordentlichen Kündbarkeit</t>
    </r>
    <r>
      <rPr>
        <sz val="9"/>
        <rFont val="Arial"/>
        <family val="2"/>
      </rPr>
      <t xml:space="preserve"> durch tarifvertragliche Regelungen (z.B. Metallindustrie und TVÖD). Für die Berechnung kann keine Gewähr übernommen werden.
In Zweifelsfällen fragen Sie doch einfach uns!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</si>
</sst>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1]_-;\-* #,##0.00\ [$€-1]_-;_-* &quot;-&quot;??\ [$€-1]_-"/>
    <numFmt numFmtId="165" formatCode="0\ &quot;Mon.&quot;"/>
    <numFmt numFmtId="166" formatCode="0\ &quot;Arbeitstage ohne Feiertage&quot;"/>
    <numFmt numFmtId="167" formatCode="0\ &quot;Arbeitstage&quot;"/>
    <numFmt numFmtId="168" formatCode="&quot;berechnet am&quot;\ dd/mm/yyyy&quot; um &quot;\ hh:mm"/>
  </numFmts>
  <fonts count="19" x14ac:knownFonts="1">
    <font>
      <sz val="9"/>
      <name val="FrutigerNext LT Regular"/>
      <family val="2"/>
    </font>
    <font>
      <sz val="8"/>
      <name val="Arial"/>
      <family val="2"/>
    </font>
    <font>
      <sz val="9"/>
      <name val="Arial"/>
      <family val="2"/>
    </font>
    <font>
      <b/>
      <sz val="8"/>
      <name val="Arial"/>
      <family val="2"/>
    </font>
    <font>
      <sz val="8"/>
      <name val="Arial"/>
      <family val="2"/>
    </font>
    <font>
      <b/>
      <sz val="9"/>
      <name val="Arial"/>
      <family val="2"/>
    </font>
    <font>
      <sz val="9"/>
      <name val="Arial"/>
      <family val="2"/>
    </font>
    <font>
      <sz val="8"/>
      <color indexed="81"/>
      <name val="Tahoma"/>
      <family val="2"/>
    </font>
    <font>
      <u/>
      <sz val="9"/>
      <color theme="10"/>
      <name val="FrutigerNext LT Regular"/>
      <family val="2"/>
    </font>
    <font>
      <b/>
      <sz val="12"/>
      <name val="Arial"/>
      <family val="2"/>
    </font>
    <font>
      <i/>
      <sz val="9"/>
      <name val="Arial"/>
      <family val="2"/>
    </font>
    <font>
      <sz val="9"/>
      <color indexed="10"/>
      <name val="Wingdings"/>
      <charset val="2"/>
    </font>
    <font>
      <i/>
      <sz val="12"/>
      <name val="Arial"/>
      <family val="2"/>
    </font>
    <font>
      <b/>
      <i/>
      <u/>
      <sz val="12"/>
      <name val="Arial"/>
      <family val="2"/>
    </font>
    <font>
      <b/>
      <sz val="12.5"/>
      <color theme="0"/>
      <name val="Arial"/>
      <family val="2"/>
    </font>
    <font>
      <sz val="9"/>
      <color indexed="81"/>
      <name val="Arial"/>
      <family val="2"/>
    </font>
    <font>
      <sz val="8"/>
      <color indexed="81"/>
      <name val="Arial"/>
      <family val="2"/>
    </font>
    <font>
      <b/>
      <sz val="12"/>
      <name val="Arial Narrow"/>
      <family val="2"/>
    </font>
    <font>
      <sz val="11.5"/>
      <name val="Arial Narrow"/>
      <family val="2"/>
    </font>
  </fonts>
  <fills count="9">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hair">
        <color indexed="64"/>
      </bottom>
      <diagonal/>
    </border>
    <border>
      <left/>
      <right/>
      <top style="hair">
        <color indexed="64"/>
      </top>
      <bottom style="thin">
        <color indexed="64"/>
      </bottom>
      <diagonal/>
    </border>
    <border>
      <left style="thin">
        <color indexed="64"/>
      </left>
      <right style="thin">
        <color indexed="64"/>
      </right>
      <top/>
      <bottom/>
      <diagonal/>
    </border>
    <border>
      <left style="thick">
        <color rgb="FFFF0000"/>
      </left>
      <right style="thick">
        <color rgb="FFFF0000"/>
      </right>
      <top style="thick">
        <color rgb="FFFF0000"/>
      </top>
      <bottom style="hair">
        <color indexed="64"/>
      </bottom>
      <diagonal/>
    </border>
    <border>
      <left style="thick">
        <color rgb="FFFF0000"/>
      </left>
      <right style="thick">
        <color rgb="FFFF0000"/>
      </right>
      <top/>
      <bottom style="hair">
        <color indexed="64"/>
      </bottom>
      <diagonal/>
    </border>
    <border>
      <left style="thick">
        <color rgb="FFFF0000"/>
      </left>
      <right style="thick">
        <color rgb="FFFF0000"/>
      </right>
      <top style="hair">
        <color indexed="64"/>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bottom style="thick">
        <color rgb="FFFF0000"/>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right/>
      <top style="hair">
        <color indexed="64"/>
      </top>
      <bottom style="hair">
        <color indexed="64"/>
      </bottom>
      <diagonal/>
    </border>
  </borders>
  <cellStyleXfs count="3">
    <xf numFmtId="0" fontId="0" fillId="0" borderId="0">
      <alignment vertical="top"/>
    </xf>
    <xf numFmtId="164" fontId="2" fillId="0" borderId="0" applyFont="0" applyFill="0" applyBorder="0" applyAlignment="0" applyProtection="0"/>
    <xf numFmtId="0" fontId="8" fillId="0" borderId="0" applyNumberFormat="0" applyFill="0" applyBorder="0" applyAlignment="0" applyProtection="0">
      <alignment vertical="top"/>
    </xf>
  </cellStyleXfs>
  <cellXfs count="204">
    <xf numFmtId="0" fontId="0" fillId="0" borderId="0" xfId="0">
      <alignment vertical="top"/>
    </xf>
    <xf numFmtId="0" fontId="2" fillId="0" borderId="1" xfId="0" applyFont="1" applyBorder="1">
      <alignment vertical="top"/>
    </xf>
    <xf numFmtId="0" fontId="4" fillId="0" borderId="0" xfId="0" applyFont="1">
      <alignment vertical="top"/>
    </xf>
    <xf numFmtId="0" fontId="4" fillId="0" borderId="1" xfId="0" applyFont="1" applyBorder="1" applyAlignment="1">
      <alignment horizontal="center"/>
    </xf>
    <xf numFmtId="0" fontId="3" fillId="0" borderId="0" xfId="0" applyFont="1">
      <alignment vertical="top"/>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5" fillId="0" borderId="2" xfId="0" applyFont="1" applyBorder="1">
      <alignment vertical="top"/>
    </xf>
    <xf numFmtId="0" fontId="6" fillId="0" borderId="12" xfId="0" applyFont="1" applyBorder="1">
      <alignment vertical="top"/>
    </xf>
    <xf numFmtId="0" fontId="6" fillId="0" borderId="13" xfId="0" applyFont="1" applyBorder="1">
      <alignment vertical="top"/>
    </xf>
    <xf numFmtId="0" fontId="6" fillId="0" borderId="0" xfId="0" applyFont="1">
      <alignment vertical="top"/>
    </xf>
    <xf numFmtId="0" fontId="6" fillId="0" borderId="14" xfId="0" applyFont="1" applyBorder="1">
      <alignment vertical="top"/>
    </xf>
    <xf numFmtId="14" fontId="6" fillId="0" borderId="0" xfId="0" applyNumberFormat="1" applyFont="1">
      <alignment vertical="top"/>
    </xf>
    <xf numFmtId="0" fontId="6" fillId="0" borderId="15" xfId="0" applyFont="1" applyBorder="1">
      <alignment vertical="top"/>
    </xf>
    <xf numFmtId="0" fontId="6" fillId="0" borderId="14" xfId="0" applyFont="1" applyBorder="1" applyAlignment="1">
      <alignment horizontal="right"/>
    </xf>
    <xf numFmtId="14" fontId="6" fillId="0" borderId="0" xfId="0" applyNumberFormat="1" applyFont="1" applyAlignment="1">
      <alignment horizontal="right"/>
    </xf>
    <xf numFmtId="0" fontId="5" fillId="0" borderId="14" xfId="0" applyFont="1" applyBorder="1">
      <alignment vertical="top"/>
    </xf>
    <xf numFmtId="14" fontId="5" fillId="0" borderId="0" xfId="0" applyNumberFormat="1" applyFont="1">
      <alignment vertical="top"/>
    </xf>
    <xf numFmtId="0" fontId="5" fillId="0" borderId="4" xfId="0" applyFont="1" applyBorder="1">
      <alignment vertical="top"/>
    </xf>
    <xf numFmtId="0" fontId="6" fillId="0" borderId="17" xfId="0" applyFont="1" applyBorder="1">
      <alignment vertical="top"/>
    </xf>
    <xf numFmtId="14" fontId="6" fillId="0" borderId="12" xfId="0" applyNumberFormat="1" applyFont="1" applyBorder="1">
      <alignment vertical="top"/>
    </xf>
    <xf numFmtId="14" fontId="6" fillId="0" borderId="15" xfId="0" applyNumberFormat="1" applyFont="1" applyBorder="1">
      <alignment vertical="top"/>
    </xf>
    <xf numFmtId="14" fontId="6" fillId="0" borderId="15" xfId="0" applyNumberFormat="1" applyFont="1" applyBorder="1" applyAlignment="1">
      <alignment horizontal="right"/>
    </xf>
    <xf numFmtId="0" fontId="6" fillId="0" borderId="4" xfId="0" applyFont="1" applyBorder="1">
      <alignment vertical="top"/>
    </xf>
    <xf numFmtId="14" fontId="6" fillId="0" borderId="17" xfId="0" applyNumberFormat="1" applyFont="1" applyBorder="1">
      <alignment vertical="top"/>
    </xf>
    <xf numFmtId="0" fontId="1" fillId="0" borderId="1" xfId="0" applyFont="1" applyBorder="1">
      <alignment vertical="top"/>
    </xf>
    <xf numFmtId="0" fontId="4" fillId="0" borderId="18" xfId="0" applyFont="1" applyBorder="1" applyAlignment="1">
      <alignment horizontal="center"/>
    </xf>
    <xf numFmtId="0" fontId="4" fillId="0" borderId="19" xfId="0" applyFont="1" applyBorder="1" applyAlignment="1">
      <alignment horizontal="center"/>
    </xf>
    <xf numFmtId="0" fontId="1" fillId="0" borderId="8" xfId="0" applyFont="1" applyBorder="1">
      <alignment vertical="top"/>
    </xf>
    <xf numFmtId="0" fontId="1" fillId="0" borderId="19" xfId="0" applyFont="1" applyBorder="1">
      <alignment vertical="top"/>
    </xf>
    <xf numFmtId="0" fontId="0" fillId="0" borderId="20" xfId="0" applyBorder="1">
      <alignment vertical="top"/>
    </xf>
    <xf numFmtId="0" fontId="6" fillId="0" borderId="14" xfId="0" applyFont="1" applyBorder="1" applyAlignment="1">
      <alignment horizontal="left"/>
    </xf>
    <xf numFmtId="0" fontId="1" fillId="0" borderId="1" xfId="0" applyFont="1" applyBorder="1" applyAlignment="1">
      <alignment horizontal="center"/>
    </xf>
    <xf numFmtId="0" fontId="3" fillId="0" borderId="0" xfId="0" applyFont="1" applyAlignment="1">
      <alignment horizontal="left"/>
    </xf>
    <xf numFmtId="0" fontId="1" fillId="0" borderId="21" xfId="0" applyFont="1" applyBorder="1" applyAlignment="1">
      <alignment horizontal="right"/>
    </xf>
    <xf numFmtId="0" fontId="1" fillId="0" borderId="22" xfId="0" applyFont="1" applyBorder="1">
      <alignment vertical="top"/>
    </xf>
    <xf numFmtId="0" fontId="1" fillId="0" borderId="18" xfId="0" applyFont="1" applyBorder="1">
      <alignment vertical="top"/>
    </xf>
    <xf numFmtId="0" fontId="1" fillId="0" borderId="9" xfId="0" applyFont="1" applyBorder="1">
      <alignment vertical="top"/>
    </xf>
    <xf numFmtId="0" fontId="1" fillId="0" borderId="21" xfId="0" applyFont="1" applyBorder="1">
      <alignment vertical="top"/>
    </xf>
    <xf numFmtId="0" fontId="5" fillId="0" borderId="0" xfId="0" applyFont="1">
      <alignment vertical="top"/>
    </xf>
    <xf numFmtId="0" fontId="6" fillId="0" borderId="0" xfId="0" applyFont="1" applyAlignment="1">
      <alignment horizontal="right"/>
    </xf>
    <xf numFmtId="0" fontId="0" fillId="0" borderId="19" xfId="0" applyBorder="1">
      <alignment vertical="top"/>
    </xf>
    <xf numFmtId="0" fontId="4" fillId="0" borderId="8" xfId="0" applyFont="1" applyBorder="1" applyAlignment="1">
      <alignment horizontal="right"/>
    </xf>
    <xf numFmtId="0" fontId="0" fillId="0" borderId="11" xfId="0" applyBorder="1">
      <alignment vertical="top"/>
    </xf>
    <xf numFmtId="0" fontId="0" fillId="0" borderId="1" xfId="0" applyBorder="1" applyAlignment="1">
      <alignment horizontal="center"/>
    </xf>
    <xf numFmtId="0" fontId="0" fillId="0" borderId="1" xfId="0" quotePrefix="1" applyBorder="1" applyAlignment="1">
      <alignment horizontal="center"/>
    </xf>
    <xf numFmtId="0" fontId="0" fillId="0" borderId="18" xfId="0" applyBorder="1" applyAlignment="1">
      <alignment horizontal="center"/>
    </xf>
    <xf numFmtId="0" fontId="0" fillId="0" borderId="23" xfId="0" applyBorder="1" applyAlignment="1">
      <alignment horizontal="center"/>
    </xf>
    <xf numFmtId="0" fontId="0" fillId="0" borderId="9" xfId="0" applyBorder="1" applyAlignment="1">
      <alignment horizontal="center"/>
    </xf>
    <xf numFmtId="0" fontId="0" fillId="0" borderId="19" xfId="0" applyBorder="1" applyAlignment="1">
      <alignment horizontal="center"/>
    </xf>
    <xf numFmtId="0" fontId="0" fillId="0" borderId="8" xfId="0" quotePrefix="1" applyBorder="1" applyAlignment="1">
      <alignment horizontal="center"/>
    </xf>
    <xf numFmtId="0" fontId="0" fillId="0" borderId="8" xfId="0" applyBorder="1">
      <alignment vertical="top"/>
    </xf>
    <xf numFmtId="0" fontId="0" fillId="0" borderId="19" xfId="0" quotePrefix="1" applyBorder="1" applyAlignment="1">
      <alignment horizontal="center"/>
    </xf>
    <xf numFmtId="0" fontId="0" fillId="0" borderId="20" xfId="0" quotePrefix="1" applyBorder="1" applyAlignment="1">
      <alignment horizontal="center"/>
    </xf>
    <xf numFmtId="0" fontId="0" fillId="0" borderId="10" xfId="0" applyBorder="1" applyAlignment="1">
      <alignment horizontal="center"/>
    </xf>
    <xf numFmtId="0" fontId="0" fillId="0" borderId="25" xfId="0" applyBorder="1">
      <alignment vertical="top"/>
    </xf>
    <xf numFmtId="0" fontId="0" fillId="0" borderId="27" xfId="0" applyBorder="1">
      <alignment vertical="top"/>
    </xf>
    <xf numFmtId="0" fontId="0" fillId="0" borderId="29" xfId="0" applyBorder="1">
      <alignment vertical="top"/>
    </xf>
    <xf numFmtId="0" fontId="4" fillId="3" borderId="23" xfId="0" applyFont="1" applyFill="1" applyBorder="1" applyAlignment="1">
      <alignment horizontal="center"/>
    </xf>
    <xf numFmtId="0" fontId="4" fillId="3" borderId="9" xfId="0" applyFont="1" applyFill="1" applyBorder="1" applyAlignment="1">
      <alignment horizontal="center"/>
    </xf>
    <xf numFmtId="0" fontId="4" fillId="3" borderId="1" xfId="0" applyFont="1" applyFill="1" applyBorder="1" applyAlignment="1">
      <alignment horizontal="center"/>
    </xf>
    <xf numFmtId="0" fontId="4" fillId="3" borderId="8" xfId="0" applyFont="1" applyFill="1" applyBorder="1" applyAlignment="1">
      <alignment horizontal="center"/>
    </xf>
    <xf numFmtId="14" fontId="5" fillId="0" borderId="17" xfId="0" applyNumberFormat="1" applyFont="1" applyBorder="1">
      <alignment vertical="top"/>
    </xf>
    <xf numFmtId="14" fontId="6" fillId="0" borderId="16" xfId="0" applyNumberFormat="1" applyFont="1" applyBorder="1">
      <alignment vertical="top"/>
    </xf>
    <xf numFmtId="0" fontId="5" fillId="0" borderId="14" xfId="0" applyFont="1" applyBorder="1" applyAlignment="1">
      <alignment horizontal="right"/>
    </xf>
    <xf numFmtId="0" fontId="5" fillId="2" borderId="34" xfId="0" applyFont="1" applyFill="1" applyBorder="1" applyAlignment="1">
      <alignment horizontal="center" vertical="top"/>
    </xf>
    <xf numFmtId="0" fontId="2" fillId="5" borderId="1" xfId="0" applyFont="1" applyFill="1" applyBorder="1" applyAlignment="1">
      <alignment horizontal="right" vertical="center"/>
    </xf>
    <xf numFmtId="14" fontId="2" fillId="5" borderId="1" xfId="0" applyNumberFormat="1" applyFont="1" applyFill="1" applyBorder="1" applyAlignment="1">
      <alignment horizontal="center" vertical="center" wrapText="1"/>
    </xf>
    <xf numFmtId="0" fontId="2" fillId="5" borderId="1" xfId="2" applyFont="1" applyFill="1" applyBorder="1" applyAlignment="1">
      <alignment horizontal="right" vertical="center"/>
    </xf>
    <xf numFmtId="16" fontId="2" fillId="5" borderId="1" xfId="0" applyNumberFormat="1" applyFont="1" applyFill="1" applyBorder="1" applyAlignment="1">
      <alignment horizontal="right" vertical="center"/>
    </xf>
    <xf numFmtId="0" fontId="6" fillId="6" borderId="4" xfId="0" applyFont="1" applyFill="1" applyBorder="1">
      <alignment vertical="top"/>
    </xf>
    <xf numFmtId="14" fontId="6" fillId="6" borderId="16" xfId="0" applyNumberFormat="1" applyFont="1" applyFill="1" applyBorder="1">
      <alignment vertical="top"/>
    </xf>
    <xf numFmtId="0" fontId="6" fillId="6" borderId="17" xfId="0" applyFont="1" applyFill="1" applyBorder="1">
      <alignment vertical="top"/>
    </xf>
    <xf numFmtId="0" fontId="2" fillId="0" borderId="14" xfId="0" applyFont="1" applyBorder="1">
      <alignment vertical="top"/>
    </xf>
    <xf numFmtId="0" fontId="2" fillId="0" borderId="0" xfId="0" applyFont="1" applyProtection="1">
      <alignment vertical="top"/>
      <protection hidden="1"/>
    </xf>
    <xf numFmtId="0" fontId="2" fillId="0" borderId="14" xfId="0" applyFont="1" applyBorder="1" applyAlignment="1">
      <alignment horizontal="right"/>
    </xf>
    <xf numFmtId="14" fontId="2" fillId="4" borderId="40" xfId="0" applyNumberFormat="1" applyFont="1" applyFill="1" applyBorder="1" applyAlignment="1" applyProtection="1">
      <alignment horizontal="center" vertical="center"/>
      <protection locked="0"/>
    </xf>
    <xf numFmtId="14" fontId="2" fillId="4" borderId="41" xfId="0" applyNumberFormat="1" applyFont="1" applyFill="1" applyBorder="1" applyAlignment="1" applyProtection="1">
      <alignment horizontal="center" vertical="center"/>
      <protection locked="0"/>
    </xf>
    <xf numFmtId="14" fontId="2" fillId="4" borderId="42" xfId="0" applyNumberFormat="1" applyFont="1" applyFill="1" applyBorder="1" applyAlignment="1" applyProtection="1">
      <alignment horizontal="center" vertical="center"/>
      <protection locked="0"/>
    </xf>
    <xf numFmtId="0" fontId="2" fillId="4" borderId="41" xfId="0" applyFont="1" applyFill="1" applyBorder="1" applyAlignment="1" applyProtection="1">
      <alignment horizontal="center" vertical="center"/>
      <protection locked="0"/>
    </xf>
    <xf numFmtId="0" fontId="2" fillId="4" borderId="42" xfId="0" applyFont="1" applyFill="1" applyBorder="1" applyAlignment="1" applyProtection="1">
      <alignment horizontal="center" vertical="center"/>
      <protection locked="0"/>
    </xf>
    <xf numFmtId="14" fontId="5" fillId="4" borderId="43" xfId="0" applyNumberFormat="1" applyFont="1" applyFill="1" applyBorder="1" applyAlignment="1" applyProtection="1">
      <alignment horizontal="center" vertical="center"/>
      <protection locked="0"/>
    </xf>
    <xf numFmtId="0" fontId="2" fillId="4" borderId="44" xfId="0" applyFont="1" applyFill="1" applyBorder="1" applyAlignment="1" applyProtection="1">
      <alignment horizontal="center" vertical="center"/>
      <protection locked="0"/>
    </xf>
    <xf numFmtId="0" fontId="6" fillId="0" borderId="14" xfId="0" applyFont="1" applyBorder="1" applyAlignment="1">
      <alignment horizontal="right" vertical="top"/>
    </xf>
    <xf numFmtId="0" fontId="10" fillId="7" borderId="0" xfId="0" applyFont="1" applyFill="1">
      <alignment vertical="top"/>
    </xf>
    <xf numFmtId="0" fontId="2" fillId="7" borderId="0" xfId="0" applyFont="1" applyFill="1">
      <alignment vertical="top"/>
    </xf>
    <xf numFmtId="0" fontId="10" fillId="7" borderId="46" xfId="0" applyFont="1" applyFill="1" applyBorder="1" applyAlignment="1">
      <alignment horizontal="center" vertical="top"/>
    </xf>
    <xf numFmtId="0" fontId="10" fillId="7" borderId="46" xfId="0" applyFont="1" applyFill="1" applyBorder="1" applyAlignment="1">
      <alignment horizontal="center" vertical="top" wrapText="1"/>
    </xf>
    <xf numFmtId="0" fontId="10" fillId="7" borderId="0" xfId="0" applyFont="1" applyFill="1" applyAlignment="1">
      <alignment horizontal="right" vertical="top"/>
    </xf>
    <xf numFmtId="0" fontId="10" fillId="7" borderId="0" xfId="0" applyFont="1" applyFill="1" applyAlignment="1">
      <alignment horizontal="left" vertical="center"/>
    </xf>
    <xf numFmtId="0" fontId="10" fillId="7" borderId="28" xfId="0" applyFont="1" applyFill="1" applyBorder="1" applyAlignment="1">
      <alignment horizontal="center" vertical="top"/>
    </xf>
    <xf numFmtId="0" fontId="2" fillId="7" borderId="28" xfId="0" applyFont="1" applyFill="1" applyBorder="1">
      <alignment vertical="top"/>
    </xf>
    <xf numFmtId="0" fontId="10" fillId="7" borderId="0" xfId="0" applyFont="1" applyFill="1" applyAlignment="1">
      <alignment horizontal="right" vertical="center"/>
    </xf>
    <xf numFmtId="0" fontId="2" fillId="7" borderId="37" xfId="0" applyFont="1" applyFill="1" applyBorder="1" applyAlignment="1">
      <alignment horizontal="right" vertical="center"/>
    </xf>
    <xf numFmtId="0" fontId="2" fillId="7" borderId="0" xfId="0" applyFont="1" applyFill="1" applyAlignment="1">
      <alignment vertical="center"/>
    </xf>
    <xf numFmtId="0" fontId="2" fillId="7" borderId="38" xfId="0" applyFont="1" applyFill="1" applyBorder="1" applyAlignment="1">
      <alignment horizontal="right" vertical="center"/>
    </xf>
    <xf numFmtId="0" fontId="5" fillId="7" borderId="37" xfId="0" applyFont="1" applyFill="1" applyBorder="1" applyAlignment="1">
      <alignment horizontal="right" vertical="center"/>
    </xf>
    <xf numFmtId="0" fontId="2" fillId="7" borderId="28" xfId="0" applyFont="1" applyFill="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5" fillId="7" borderId="36" xfId="0" applyFont="1" applyFill="1" applyBorder="1" applyAlignment="1">
      <alignment horizontal="left" vertical="center" wrapText="1"/>
    </xf>
    <xf numFmtId="0" fontId="2" fillId="7" borderId="36" xfId="0" applyFont="1" applyFill="1" applyBorder="1" applyAlignment="1">
      <alignment horizontal="right" vertical="center"/>
    </xf>
    <xf numFmtId="0" fontId="2" fillId="7" borderId="36" xfId="0" applyFont="1" applyFill="1" applyBorder="1" applyAlignment="1">
      <alignment horizontal="center" vertical="center"/>
    </xf>
    <xf numFmtId="14" fontId="2" fillId="0" borderId="37" xfId="0" applyNumberFormat="1" applyFont="1" applyBorder="1" applyAlignment="1">
      <alignment horizontal="center" vertical="center"/>
    </xf>
    <xf numFmtId="0" fontId="2" fillId="7" borderId="0" xfId="0" applyFont="1" applyFill="1" applyAlignment="1">
      <alignment horizontal="right" vertical="center"/>
    </xf>
    <xf numFmtId="0" fontId="2" fillId="0" borderId="0" xfId="0" applyFont="1" applyAlignment="1">
      <alignment horizontal="center" vertical="center"/>
    </xf>
    <xf numFmtId="0" fontId="2" fillId="7" borderId="28" xfId="0" applyFont="1" applyFill="1" applyBorder="1" applyAlignment="1">
      <alignment horizontal="right" vertical="center"/>
    </xf>
    <xf numFmtId="14" fontId="5" fillId="0" borderId="28" xfId="0" applyNumberFormat="1" applyFont="1" applyBorder="1" applyAlignment="1">
      <alignment horizontal="center" vertical="center"/>
    </xf>
    <xf numFmtId="14" fontId="5" fillId="7" borderId="36" xfId="0" applyNumberFormat="1" applyFont="1" applyFill="1" applyBorder="1" applyAlignment="1">
      <alignment horizontal="center" vertical="center"/>
    </xf>
    <xf numFmtId="167" fontId="2" fillId="0" borderId="37" xfId="0" applyNumberFormat="1" applyFont="1" applyBorder="1" applyAlignment="1">
      <alignment horizontal="center" vertical="center"/>
    </xf>
    <xf numFmtId="167" fontId="2" fillId="0" borderId="38" xfId="0" applyNumberFormat="1" applyFont="1" applyBorder="1" applyAlignment="1">
      <alignment horizontal="center" vertical="center"/>
    </xf>
    <xf numFmtId="167" fontId="2" fillId="7" borderId="28" xfId="0" applyNumberFormat="1" applyFont="1" applyFill="1" applyBorder="1" applyAlignment="1">
      <alignment horizontal="center" vertical="center"/>
    </xf>
    <xf numFmtId="165" fontId="2" fillId="0" borderId="36" xfId="0" applyNumberFormat="1" applyFont="1" applyBorder="1" applyAlignment="1">
      <alignment horizontal="center" vertical="center"/>
    </xf>
    <xf numFmtId="0" fontId="10" fillId="7" borderId="0" xfId="0" applyFont="1" applyFill="1" applyAlignment="1">
      <alignment vertical="center"/>
    </xf>
    <xf numFmtId="0" fontId="2" fillId="7" borderId="0" xfId="0" applyFont="1" applyFill="1" applyAlignment="1">
      <alignment horizontal="center" vertical="center"/>
    </xf>
    <xf numFmtId="0" fontId="10" fillId="0" borderId="0" xfId="0" applyFont="1">
      <alignment vertical="top"/>
    </xf>
    <xf numFmtId="0" fontId="2" fillId="0" borderId="0" xfId="0" applyFont="1">
      <alignment vertical="top"/>
    </xf>
    <xf numFmtId="0" fontId="1" fillId="0" borderId="0" xfId="0" applyFont="1">
      <alignment vertical="top"/>
    </xf>
    <xf numFmtId="0" fontId="8" fillId="0" borderId="0" xfId="2" applyFill="1" applyBorder="1" applyProtection="1">
      <alignment vertical="top"/>
    </xf>
    <xf numFmtId="0" fontId="2" fillId="0" borderId="14" xfId="0" applyFont="1" applyBorder="1" applyAlignment="1">
      <alignment horizontal="right" vertical="top"/>
    </xf>
    <xf numFmtId="0" fontId="5" fillId="0" borderId="14" xfId="0" applyFont="1" applyBorder="1" applyAlignment="1">
      <alignment horizontal="right" vertical="top"/>
    </xf>
    <xf numFmtId="14" fontId="0" fillId="0" borderId="0" xfId="0" applyNumberFormat="1">
      <alignment vertical="top"/>
    </xf>
    <xf numFmtId="14" fontId="2" fillId="5" borderId="45" xfId="0" applyNumberFormat="1" applyFont="1" applyFill="1" applyBorder="1" applyAlignment="1">
      <alignment horizontal="center" vertical="center" wrapText="1"/>
    </xf>
    <xf numFmtId="0" fontId="5" fillId="7" borderId="0" xfId="0" applyFont="1" applyFill="1" applyAlignment="1">
      <alignment horizontal="left" vertical="center"/>
    </xf>
    <xf numFmtId="0" fontId="5" fillId="7" borderId="28" xfId="0" applyFont="1" applyFill="1" applyBorder="1" applyAlignment="1">
      <alignment horizontal="left" vertical="center"/>
    </xf>
    <xf numFmtId="0" fontId="5" fillId="7" borderId="28" xfId="0" applyFont="1" applyFill="1" applyBorder="1" applyAlignment="1">
      <alignment horizontal="left" vertical="center" wrapText="1"/>
    </xf>
    <xf numFmtId="0" fontId="11" fillId="7" borderId="0" xfId="0" applyFont="1" applyFill="1" applyAlignment="1">
      <alignment horizontal="left" vertical="center"/>
    </xf>
    <xf numFmtId="0" fontId="2" fillId="0" borderId="18" xfId="0" applyFont="1" applyBorder="1" applyAlignment="1" applyProtection="1">
      <alignment horizontal="right" vertical="center"/>
      <protection locked="0"/>
    </xf>
    <xf numFmtId="0" fontId="2" fillId="0" borderId="19" xfId="0" applyFont="1" applyBorder="1" applyAlignment="1" applyProtection="1">
      <alignment horizontal="right" vertical="center"/>
      <protection locked="0"/>
    </xf>
    <xf numFmtId="0" fontId="2" fillId="0" borderId="19" xfId="0" applyFont="1" applyBorder="1" applyAlignment="1" applyProtection="1">
      <alignment horizontal="right" vertical="top"/>
      <protection locked="0"/>
    </xf>
    <xf numFmtId="0" fontId="2" fillId="0" borderId="20" xfId="0" applyFont="1" applyBorder="1" applyAlignment="1" applyProtection="1">
      <alignment horizontal="right" vertical="center"/>
      <protection locked="0"/>
    </xf>
    <xf numFmtId="0" fontId="2" fillId="0" borderId="0" xfId="0" applyFont="1" applyAlignment="1">
      <alignment vertical="center"/>
    </xf>
    <xf numFmtId="0" fontId="5" fillId="0" borderId="0" xfId="0" applyFont="1" applyAlignment="1">
      <alignment horizontal="left" vertical="center"/>
    </xf>
    <xf numFmtId="0" fontId="2" fillId="0" borderId="1" xfId="0" applyFont="1" applyBorder="1" applyAlignment="1">
      <alignment vertical="center"/>
    </xf>
    <xf numFmtId="0" fontId="2" fillId="0" borderId="39" xfId="0" applyFont="1" applyBorder="1" applyAlignment="1">
      <alignment vertical="center"/>
    </xf>
    <xf numFmtId="0" fontId="2" fillId="0" borderId="45" xfId="0" applyFont="1" applyBorder="1" applyAlignment="1">
      <alignment vertical="center"/>
    </xf>
    <xf numFmtId="0" fontId="0" fillId="0" borderId="0" xfId="0" applyAlignment="1">
      <alignment vertical="center"/>
    </xf>
    <xf numFmtId="0" fontId="2" fillId="0" borderId="45" xfId="0" applyFont="1" applyBorder="1" applyAlignment="1">
      <alignment horizontal="right" vertical="center"/>
    </xf>
    <xf numFmtId="0" fontId="2" fillId="0" borderId="0" xfId="0" quotePrefix="1" applyFont="1" applyAlignment="1">
      <alignment vertical="center"/>
    </xf>
    <xf numFmtId="0" fontId="2" fillId="0" borderId="0" xfId="0" applyFont="1" applyAlignment="1">
      <alignment horizontal="right" vertical="center"/>
    </xf>
    <xf numFmtId="166" fontId="2" fillId="0" borderId="0" xfId="0" applyNumberFormat="1" applyFont="1" applyAlignment="1">
      <alignment vertical="center"/>
    </xf>
    <xf numFmtId="14" fontId="2" fillId="0" borderId="0" xfId="0" applyNumberFormat="1" applyFont="1" applyAlignment="1">
      <alignment vertical="center"/>
    </xf>
    <xf numFmtId="0" fontId="2" fillId="0" borderId="0" xfId="0" applyFont="1" applyAlignment="1">
      <alignment horizontal="right" vertical="top"/>
    </xf>
    <xf numFmtId="0" fontId="0" fillId="0" borderId="6" xfId="0" applyBorder="1">
      <alignment vertical="top"/>
    </xf>
    <xf numFmtId="0" fontId="2" fillId="0" borderId="0" xfId="0" applyFont="1" applyAlignment="1"/>
    <xf numFmtId="0" fontId="2" fillId="0" borderId="45" xfId="0" applyFont="1" applyBorder="1" applyAlignment="1">
      <alignment horizontal="right" vertical="top"/>
    </xf>
    <xf numFmtId="165" fontId="2" fillId="0" borderId="47" xfId="0" applyNumberFormat="1" applyFont="1" applyBorder="1" applyAlignment="1">
      <alignment horizontal="center" vertical="center"/>
    </xf>
    <xf numFmtId="14" fontId="0" fillId="0" borderId="0" xfId="0" applyNumberFormat="1" applyAlignment="1">
      <alignment vertical="center" wrapText="1"/>
    </xf>
    <xf numFmtId="0" fontId="2" fillId="5" borderId="35" xfId="0" applyFont="1" applyFill="1" applyBorder="1" applyAlignment="1">
      <alignment horizontal="right" vertical="center"/>
    </xf>
    <xf numFmtId="14" fontId="0" fillId="0" borderId="1" xfId="0" applyNumberFormat="1" applyBorder="1" applyAlignment="1">
      <alignment vertical="center" wrapText="1"/>
    </xf>
    <xf numFmtId="14" fontId="0" fillId="0" borderId="1" xfId="0" applyNumberFormat="1" applyBorder="1">
      <alignment vertical="top"/>
    </xf>
    <xf numFmtId="0" fontId="10" fillId="7" borderId="46" xfId="0" applyFont="1" applyFill="1" applyBorder="1" applyAlignment="1">
      <alignment horizontal="right" vertical="top" textRotation="90"/>
    </xf>
    <xf numFmtId="0" fontId="17" fillId="0" borderId="0" xfId="2" applyFont="1" applyFill="1" applyBorder="1" applyAlignment="1" applyProtection="1">
      <alignment horizontal="left"/>
    </xf>
    <xf numFmtId="0" fontId="18" fillId="0" borderId="28" xfId="2" applyFont="1" applyFill="1" applyBorder="1" applyAlignment="1" applyProtection="1">
      <alignment horizontal="left" vertical="top"/>
    </xf>
    <xf numFmtId="0" fontId="5" fillId="7" borderId="24" xfId="0" applyFont="1" applyFill="1" applyBorder="1" applyAlignment="1">
      <alignment horizontal="left" vertical="center" wrapText="1"/>
    </xf>
    <xf numFmtId="0" fontId="5" fillId="7" borderId="0" xfId="0" applyFont="1" applyFill="1" applyAlignment="1">
      <alignment horizontal="left" vertical="center"/>
    </xf>
    <xf numFmtId="0" fontId="5" fillId="7" borderId="28" xfId="0" applyFont="1" applyFill="1" applyBorder="1" applyAlignment="1">
      <alignment horizontal="left" vertical="center"/>
    </xf>
    <xf numFmtId="0" fontId="5" fillId="7" borderId="0" xfId="0" applyFont="1" applyFill="1" applyAlignment="1">
      <alignment horizontal="left" vertical="center" wrapText="1"/>
    </xf>
    <xf numFmtId="0" fontId="5" fillId="7" borderId="28" xfId="0" applyFont="1" applyFill="1" applyBorder="1" applyAlignment="1">
      <alignment horizontal="left" vertical="center" wrapText="1"/>
    </xf>
    <xf numFmtId="0" fontId="12" fillId="4" borderId="0" xfId="0" applyFont="1" applyFill="1" applyAlignment="1">
      <alignment horizontal="center" vertical="top" wrapText="1"/>
    </xf>
    <xf numFmtId="0" fontId="14" fillId="8" borderId="0" xfId="0" applyFont="1" applyFill="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5" fillId="7" borderId="36" xfId="0" applyFont="1" applyFill="1" applyBorder="1" applyAlignment="1">
      <alignment horizontal="left" vertical="center"/>
    </xf>
    <xf numFmtId="0" fontId="2" fillId="0" borderId="21" xfId="0" applyFont="1" applyBorder="1" applyAlignment="1">
      <alignment horizontal="center" vertical="center"/>
    </xf>
    <xf numFmtId="0" fontId="11" fillId="7" borderId="0" xfId="0" applyFont="1" applyFill="1" applyAlignment="1">
      <alignment horizontal="left" vertical="center"/>
    </xf>
    <xf numFmtId="168" fontId="12" fillId="7" borderId="0" xfId="0" applyNumberFormat="1" applyFont="1" applyFill="1" applyAlignment="1">
      <alignment horizontal="left" vertical="top" wrapText="1"/>
    </xf>
    <xf numFmtId="0" fontId="9" fillId="7" borderId="0" xfId="0" applyFont="1" applyFill="1" applyAlignment="1">
      <alignment horizontal="left" vertical="top"/>
    </xf>
    <xf numFmtId="0" fontId="2" fillId="0" borderId="35" xfId="0" applyFont="1" applyBorder="1" applyAlignment="1">
      <alignment horizontal="center" vertical="center"/>
    </xf>
    <xf numFmtId="0" fontId="2" fillId="0" borderId="39" xfId="0" applyFont="1" applyBorder="1" applyAlignment="1">
      <alignment horizontal="center" vertical="center"/>
    </xf>
    <xf numFmtId="0" fontId="5" fillId="7" borderId="36" xfId="2" applyFont="1" applyFill="1" applyBorder="1" applyAlignment="1" applyProtection="1">
      <alignment horizontal="left" vertical="center"/>
    </xf>
    <xf numFmtId="0" fontId="2" fillId="0" borderId="0" xfId="0" applyFont="1" applyAlignment="1">
      <alignment horizontal="left" vertical="top" wrapText="1"/>
    </xf>
    <xf numFmtId="0" fontId="5" fillId="2" borderId="33" xfId="0" applyFont="1" applyFill="1" applyBorder="1" applyAlignment="1">
      <alignment horizontal="center" vertical="top"/>
    </xf>
    <xf numFmtId="0" fontId="5" fillId="2" borderId="28" xfId="0" applyFont="1" applyFill="1" applyBorder="1" applyAlignment="1">
      <alignment horizontal="center" vertical="top"/>
    </xf>
    <xf numFmtId="14" fontId="6" fillId="0" borderId="10" xfId="0" applyNumberFormat="1" applyFont="1" applyBorder="1" applyAlignment="1">
      <alignment horizontal="left" vertical="top"/>
    </xf>
    <xf numFmtId="14" fontId="6" fillId="0" borderId="11" xfId="0" applyNumberFormat="1" applyFont="1" applyBorder="1" applyAlignment="1">
      <alignment horizontal="left" vertical="top"/>
    </xf>
    <xf numFmtId="14" fontId="6" fillId="0" borderId="1" xfId="0" applyNumberFormat="1" applyFont="1" applyBorder="1" applyAlignment="1">
      <alignment horizontal="left" vertical="top"/>
    </xf>
    <xf numFmtId="14" fontId="6" fillId="0" borderId="8" xfId="0" applyNumberFormat="1" applyFont="1" applyBorder="1" applyAlignment="1">
      <alignment horizontal="left" vertical="top"/>
    </xf>
    <xf numFmtId="0" fontId="6" fillId="0" borderId="1" xfId="0" applyFont="1" applyBorder="1" applyAlignment="1">
      <alignment horizontal="left" vertical="top"/>
    </xf>
    <xf numFmtId="0" fontId="6" fillId="0" borderId="8" xfId="0" applyFont="1" applyBorder="1" applyAlignment="1">
      <alignment horizontal="left" vertical="top"/>
    </xf>
    <xf numFmtId="0" fontId="6" fillId="0" borderId="23" xfId="0" applyFont="1" applyBorder="1" applyAlignment="1">
      <alignment horizontal="left" vertical="top"/>
    </xf>
    <xf numFmtId="0" fontId="6" fillId="0" borderId="9" xfId="0" applyFont="1" applyBorder="1" applyAlignment="1">
      <alignment horizontal="left" vertical="top"/>
    </xf>
    <xf numFmtId="0" fontId="3" fillId="0" borderId="0" xfId="0" applyFont="1" applyAlignment="1">
      <alignment horizontal="left" vertical="top" wrapText="1"/>
    </xf>
    <xf numFmtId="0" fontId="4" fillId="0" borderId="27" xfId="0" applyFont="1" applyBorder="1" applyAlignment="1">
      <alignment horizontal="center" vertical="center" wrapText="1"/>
    </xf>
    <xf numFmtId="0" fontId="2" fillId="5" borderId="35"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3" fillId="0" borderId="26"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4" fillId="0" borderId="16" xfId="0" applyFont="1" applyBorder="1" applyAlignment="1">
      <alignment horizontal="center"/>
    </xf>
    <xf numFmtId="0" fontId="4" fillId="0" borderId="15" xfId="0" applyFont="1" applyBorder="1" applyAlignment="1">
      <alignment horizontal="center" vertical="center" wrapText="1"/>
    </xf>
  </cellXfs>
  <cellStyles count="3">
    <cellStyle name="Euro" xfId="1" xr:uid="{00000000-0005-0000-0000-000000000000}"/>
    <cellStyle name="Link" xfId="2" builtinId="8"/>
    <cellStyle name="Standard" xfId="0" builtinId="0"/>
  </cellStyles>
  <dxfs count="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font>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B2B2B2"/>
      <rgbColor rgb="00003366"/>
      <rgbColor rgb="00339966"/>
      <rgbColor rgb="00003300"/>
      <rgbColor rgb="00333300"/>
      <rgbColor rgb="00993300"/>
      <rgbColor rgb="00993366"/>
      <rgbColor rgb="00333399"/>
      <rgbColor rgb="00333333"/>
    </indexedColors>
    <mruColors>
      <color rgb="FF0157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4761</xdr:colOff>
      <xdr:row>15</xdr:row>
      <xdr:rowOff>90488</xdr:rowOff>
    </xdr:from>
    <xdr:to>
      <xdr:col>5</xdr:col>
      <xdr:colOff>566736</xdr:colOff>
      <xdr:row>15</xdr:row>
      <xdr:rowOff>90488</xdr:rowOff>
    </xdr:to>
    <xdr:sp macro="" textlink="">
      <xdr:nvSpPr>
        <xdr:cNvPr id="1196" name="Line 172">
          <a:extLst>
            <a:ext uri="{FF2B5EF4-FFF2-40B4-BE49-F238E27FC236}">
              <a16:creationId xmlns:a16="http://schemas.microsoft.com/office/drawing/2014/main" id="{00000000-0008-0000-0000-0000AC040000}"/>
            </a:ext>
          </a:extLst>
        </xdr:cNvPr>
        <xdr:cNvSpPr>
          <a:spLocks noChangeShapeType="1"/>
        </xdr:cNvSpPr>
      </xdr:nvSpPr>
      <xdr:spPr bwMode="auto">
        <a:xfrm>
          <a:off x="5795961" y="3338513"/>
          <a:ext cx="561975" cy="0"/>
        </a:xfrm>
        <a:prstGeom prst="line">
          <a:avLst/>
        </a:prstGeom>
        <a:noFill/>
        <a:ln w="88900">
          <a:solidFill>
            <a:schemeClr val="tx2">
              <a:lumMod val="75000"/>
            </a:schemeClr>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5</xdr:col>
      <xdr:colOff>4761</xdr:colOff>
      <xdr:row>28</xdr:row>
      <xdr:rowOff>80962</xdr:rowOff>
    </xdr:from>
    <xdr:to>
      <xdr:col>5</xdr:col>
      <xdr:colOff>566736</xdr:colOff>
      <xdr:row>28</xdr:row>
      <xdr:rowOff>80962</xdr:rowOff>
    </xdr:to>
    <xdr:sp macro="" textlink="">
      <xdr:nvSpPr>
        <xdr:cNvPr id="1199" name="Line 175">
          <a:extLst>
            <a:ext uri="{FF2B5EF4-FFF2-40B4-BE49-F238E27FC236}">
              <a16:creationId xmlns:a16="http://schemas.microsoft.com/office/drawing/2014/main" id="{00000000-0008-0000-0000-0000AF040000}"/>
            </a:ext>
          </a:extLst>
        </xdr:cNvPr>
        <xdr:cNvSpPr>
          <a:spLocks noChangeShapeType="1"/>
        </xdr:cNvSpPr>
      </xdr:nvSpPr>
      <xdr:spPr bwMode="auto">
        <a:xfrm>
          <a:off x="5795961" y="5557837"/>
          <a:ext cx="561975" cy="0"/>
        </a:xfrm>
        <a:prstGeom prst="line">
          <a:avLst/>
        </a:prstGeom>
        <a:noFill/>
        <a:ln w="88900">
          <a:solidFill>
            <a:schemeClr val="tx2">
              <a:lumMod val="75000"/>
            </a:schemeClr>
          </a:solidFill>
          <a:round/>
          <a:headEnd type="triangle" w="med" len="med"/>
          <a:tailEnd/>
        </a:ln>
        <a:extLst>
          <a:ext uri="{909E8E84-426E-40DD-AFC4-6F175D3DCCD1}">
            <a14:hiddenFill xmlns:a14="http://schemas.microsoft.com/office/drawing/2010/main">
              <a:noFill/>
            </a14:hiddenFill>
          </a:ext>
        </a:extLst>
      </xdr:spPr>
    </xdr:sp>
    <xdr:clientData/>
  </xdr:twoCellAnchor>
  <xdr:twoCellAnchor editAs="oneCell">
    <xdr:from>
      <xdr:col>1</xdr:col>
      <xdr:colOff>188595</xdr:colOff>
      <xdr:row>0</xdr:row>
      <xdr:rowOff>144782</xdr:rowOff>
    </xdr:from>
    <xdr:to>
      <xdr:col>2</xdr:col>
      <xdr:colOff>396240</xdr:colOff>
      <xdr:row>2</xdr:row>
      <xdr:rowOff>178048</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1726" t="31197" r="32847" b="31260"/>
        <a:stretch/>
      </xdr:blipFill>
      <xdr:spPr>
        <a:xfrm>
          <a:off x="188595" y="144782"/>
          <a:ext cx="428625" cy="49046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tp://www.arbeitsrecht24.com/" TargetMode="External"/><Relationship Id="rId7" Type="http://schemas.openxmlformats.org/officeDocument/2006/relationships/printerSettings" Target="../printerSettings/printerSettings1.bin"/><Relationship Id="rId2" Type="http://schemas.openxmlformats.org/officeDocument/2006/relationships/hyperlink" Target="http://www.arbeitsrecht24.com/" TargetMode="External"/><Relationship Id="rId1" Type="http://schemas.openxmlformats.org/officeDocument/2006/relationships/hyperlink" Target="http://www.arbeitsrecht24.com/" TargetMode="External"/><Relationship Id="rId6" Type="http://schemas.openxmlformats.org/officeDocument/2006/relationships/hyperlink" Target="http://www.gesetze-im-internet.de/sgb_3/__147.html" TargetMode="External"/><Relationship Id="rId5" Type="http://schemas.openxmlformats.org/officeDocument/2006/relationships/hyperlink" Target="http://www.gesetze-im-internet.de/bgb/__622.html" TargetMode="External"/><Relationship Id="rId10" Type="http://schemas.openxmlformats.org/officeDocument/2006/relationships/comments" Target="../comments1.xml"/><Relationship Id="rId4" Type="http://schemas.openxmlformats.org/officeDocument/2006/relationships/hyperlink" Target="http://www.gesetze-im-internet.de/bgb/__622.html"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erien-und-feiertage.de/ostern_56.html" TargetMode="External"/><Relationship Id="rId2" Type="http://schemas.openxmlformats.org/officeDocument/2006/relationships/hyperlink" Target="http://www.ferien-und-feiertage.de/ostern_56.html" TargetMode="External"/><Relationship Id="rId1" Type="http://schemas.openxmlformats.org/officeDocument/2006/relationships/hyperlink" Target="http://www.ferien-und-feiertage.de/ostern_56.html"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www.ferien-und-feiertage.de/ostern_56.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8"/>
  </sheetPr>
  <dimension ref="B2:AA64"/>
  <sheetViews>
    <sheetView showGridLines="0" tabSelected="1" topLeftCell="A4" zoomScaleNormal="100" zoomScaleSheetLayoutView="100" workbookViewId="0">
      <selection activeCell="E13" sqref="E13"/>
    </sheetView>
  </sheetViews>
  <sheetFormatPr baseColWidth="10" defaultColWidth="11.375" defaultRowHeight="12" customHeight="1" x14ac:dyDescent="0.2"/>
  <cols>
    <col min="1" max="1" width="3.625" style="124" customWidth="1"/>
    <col min="2" max="2" width="3.625" style="123" customWidth="1"/>
    <col min="3" max="3" width="16.75" style="123" customWidth="1"/>
    <col min="4" max="4" width="43.625" style="124" customWidth="1"/>
    <col min="5" max="5" width="28.75" style="124" customWidth="1"/>
    <col min="6" max="6" width="10.75" style="124" customWidth="1"/>
    <col min="7" max="7" width="12.75" style="124" customWidth="1"/>
    <col min="8" max="8" width="27.75" style="124" customWidth="1"/>
    <col min="9" max="12" width="12.75" style="124" customWidth="1"/>
    <col min="13" max="13" width="15.375" style="124" customWidth="1"/>
    <col min="14" max="14" width="34" style="124" customWidth="1"/>
    <col min="15" max="25" width="11.375" style="124" customWidth="1"/>
    <col min="26" max="26" width="15.375" style="124" customWidth="1"/>
    <col min="27" max="27" width="30.875" style="124" customWidth="1"/>
    <col min="28" max="16384" width="11.375" style="124"/>
  </cols>
  <sheetData>
    <row r="2" spans="2:27" s="139" customFormat="1" ht="24" customHeight="1" x14ac:dyDescent="0.3">
      <c r="B2" s="160" t="s">
        <v>153</v>
      </c>
      <c r="C2" s="160"/>
      <c r="D2" s="160"/>
      <c r="E2" s="160"/>
      <c r="F2" s="160"/>
    </row>
    <row r="3" spans="2:27" ht="26.1" customHeight="1" x14ac:dyDescent="0.2">
      <c r="B3" s="161" t="s">
        <v>176</v>
      </c>
      <c r="C3" s="161"/>
      <c r="D3" s="161"/>
      <c r="E3" s="161"/>
      <c r="F3" s="161"/>
    </row>
    <row r="4" spans="2:27" ht="12" customHeight="1" thickBot="1" x14ac:dyDescent="0.25">
      <c r="B4" s="92"/>
      <c r="C4" s="92"/>
      <c r="D4" s="93"/>
      <c r="E4" s="93"/>
      <c r="F4" s="93"/>
    </row>
    <row r="5" spans="2:27" ht="14.1" customHeight="1" x14ac:dyDescent="0.2">
      <c r="B5" s="159"/>
      <c r="C5" s="94" t="s">
        <v>124</v>
      </c>
      <c r="D5" s="94" t="s">
        <v>125</v>
      </c>
      <c r="E5" s="95" t="s">
        <v>137</v>
      </c>
      <c r="F5" s="93"/>
      <c r="Z5" s="169" t="s">
        <v>4</v>
      </c>
      <c r="AA5" s="1" t="s">
        <v>90</v>
      </c>
    </row>
    <row r="6" spans="2:27" ht="15.6" x14ac:dyDescent="0.2">
      <c r="B6" s="100">
        <f>ROW(B6)</f>
        <v>6</v>
      </c>
      <c r="C6" s="176" t="s">
        <v>129</v>
      </c>
      <c r="D6" s="176"/>
      <c r="E6" s="167" t="s">
        <v>135</v>
      </c>
      <c r="F6" s="93"/>
      <c r="I6" s="140"/>
      <c r="Z6" s="170"/>
      <c r="AA6" s="1" t="s">
        <v>63</v>
      </c>
    </row>
    <row r="7" spans="2:27" ht="15.6" x14ac:dyDescent="0.2">
      <c r="B7" s="96">
        <f t="shared" ref="B7:B36" si="0">ROW(B7)</f>
        <v>7</v>
      </c>
      <c r="C7" s="175">
        <f ca="1">NOW()</f>
        <v>44855.695644097221</v>
      </c>
      <c r="D7" s="175"/>
      <c r="E7" s="167"/>
      <c r="F7" s="97"/>
      <c r="I7" s="140"/>
      <c r="Z7" s="170"/>
      <c r="AA7" s="1" t="s">
        <v>106</v>
      </c>
    </row>
    <row r="8" spans="2:27" ht="14.1" customHeight="1" thickBot="1" x14ac:dyDescent="0.25">
      <c r="B8" s="96">
        <f t="shared" si="0"/>
        <v>8</v>
      </c>
      <c r="C8" s="98"/>
      <c r="D8" s="99"/>
      <c r="E8" s="93"/>
      <c r="F8" s="93" t="s">
        <v>67</v>
      </c>
      <c r="Z8" s="170"/>
      <c r="AA8" s="1" t="s">
        <v>148</v>
      </c>
    </row>
    <row r="9" spans="2:27" s="139" customFormat="1" ht="14.1" customHeight="1" thickTop="1" x14ac:dyDescent="0.2">
      <c r="B9" s="100">
        <f t="shared" si="0"/>
        <v>9</v>
      </c>
      <c r="C9" s="162" t="s">
        <v>140</v>
      </c>
      <c r="D9" s="101" t="s">
        <v>0</v>
      </c>
      <c r="E9" s="84" t="s">
        <v>67</v>
      </c>
      <c r="F9" s="102"/>
      <c r="H9" s="139" t="s">
        <v>67</v>
      </c>
      <c r="Z9" s="170"/>
      <c r="AA9" s="141" t="s">
        <v>103</v>
      </c>
    </row>
    <row r="10" spans="2:27" s="139" customFormat="1" ht="14.1" customHeight="1" x14ac:dyDescent="0.2">
      <c r="B10" s="100">
        <f t="shared" si="0"/>
        <v>10</v>
      </c>
      <c r="C10" s="163"/>
      <c r="D10" s="101" t="s">
        <v>1</v>
      </c>
      <c r="E10" s="85">
        <v>28527</v>
      </c>
      <c r="F10" s="102"/>
      <c r="Z10" s="170"/>
      <c r="AA10" s="141" t="s">
        <v>147</v>
      </c>
    </row>
    <row r="11" spans="2:27" s="139" customFormat="1" ht="14.1" customHeight="1" x14ac:dyDescent="0.2">
      <c r="B11" s="100">
        <f t="shared" si="0"/>
        <v>11</v>
      </c>
      <c r="C11" s="164"/>
      <c r="D11" s="103" t="s">
        <v>2</v>
      </c>
      <c r="E11" s="86">
        <v>40544</v>
      </c>
      <c r="F11" s="102"/>
      <c r="Z11" s="171"/>
      <c r="AA11" s="141" t="s">
        <v>118</v>
      </c>
    </row>
    <row r="12" spans="2:27" s="139" customFormat="1" ht="14.1" customHeight="1" x14ac:dyDescent="0.2">
      <c r="B12" s="100">
        <f t="shared" si="0"/>
        <v>12</v>
      </c>
      <c r="C12" s="162" t="s">
        <v>151</v>
      </c>
      <c r="D12" s="104" t="s">
        <v>43</v>
      </c>
      <c r="E12" s="85" t="s">
        <v>90</v>
      </c>
      <c r="F12" s="102"/>
      <c r="Z12" s="173" t="s">
        <v>7</v>
      </c>
      <c r="AA12" s="141" t="s">
        <v>92</v>
      </c>
    </row>
    <row r="13" spans="2:27" s="139" customFormat="1" ht="14.1" customHeight="1" x14ac:dyDescent="0.2">
      <c r="B13" s="100">
        <f t="shared" si="0"/>
        <v>13</v>
      </c>
      <c r="C13" s="165"/>
      <c r="D13" s="104" t="s">
        <v>141</v>
      </c>
      <c r="E13" s="87">
        <v>1</v>
      </c>
      <c r="F13" s="102"/>
      <c r="Z13" s="170"/>
      <c r="AA13" s="141" t="s">
        <v>142</v>
      </c>
    </row>
    <row r="14" spans="2:27" s="139" customFormat="1" ht="14.1" customHeight="1" x14ac:dyDescent="0.2">
      <c r="B14" s="100">
        <f t="shared" si="0"/>
        <v>14</v>
      </c>
      <c r="C14" s="165"/>
      <c r="D14" s="101" t="s">
        <v>126</v>
      </c>
      <c r="E14" s="87" t="s">
        <v>101</v>
      </c>
      <c r="F14" s="102"/>
      <c r="Z14" s="171"/>
      <c r="AA14" s="141" t="s">
        <v>101</v>
      </c>
    </row>
    <row r="15" spans="2:27" s="139" customFormat="1" ht="14.1" customHeight="1" x14ac:dyDescent="0.2">
      <c r="B15" s="100">
        <f t="shared" si="0"/>
        <v>15</v>
      </c>
      <c r="C15" s="166"/>
      <c r="D15" s="103" t="s">
        <v>5</v>
      </c>
      <c r="E15" s="88" t="s">
        <v>6</v>
      </c>
      <c r="F15" s="102"/>
      <c r="Z15" s="177" t="s">
        <v>143</v>
      </c>
      <c r="AA15" s="141" t="s">
        <v>154</v>
      </c>
    </row>
    <row r="16" spans="2:27" s="139" customFormat="1" ht="14.1" customHeight="1" x14ac:dyDescent="0.2">
      <c r="B16" s="100">
        <f t="shared" si="0"/>
        <v>16</v>
      </c>
      <c r="C16" s="172" t="s">
        <v>98</v>
      </c>
      <c r="D16" s="172"/>
      <c r="E16" s="89">
        <f ca="1">TODAY()</f>
        <v>44855</v>
      </c>
      <c r="F16" s="102"/>
      <c r="Y16" s="139" t="str">
        <f ca="1">TEXT(DAT_KÜND,"TT.MM.JJJJ")</f>
        <v>21.10.2022</v>
      </c>
      <c r="Z16" s="178"/>
      <c r="AA16" s="141" t="s">
        <v>122</v>
      </c>
    </row>
    <row r="17" spans="2:27" s="139" customFormat="1" ht="14.1" customHeight="1" thickBot="1" x14ac:dyDescent="0.25">
      <c r="B17" s="100">
        <f t="shared" si="0"/>
        <v>17</v>
      </c>
      <c r="C17" s="164" t="s">
        <v>146</v>
      </c>
      <c r="D17" s="164"/>
      <c r="E17" s="90">
        <v>18</v>
      </c>
      <c r="F17" s="102"/>
      <c r="J17" s="139" t="s">
        <v>67</v>
      </c>
      <c r="Y17" s="139" t="str">
        <f ca="1">TEXT(DAT_KÜND+1,"TT.MM.JJJJ")</f>
        <v>22.10.2022</v>
      </c>
      <c r="Z17" s="178"/>
      <c r="AA17" s="141" t="s">
        <v>6</v>
      </c>
    </row>
    <row r="18" spans="2:27" s="139" customFormat="1" ht="14.1" customHeight="1" thickTop="1" x14ac:dyDescent="0.2">
      <c r="B18" s="100">
        <f t="shared" si="0"/>
        <v>18</v>
      </c>
      <c r="C18" s="131"/>
      <c r="D18" s="132"/>
      <c r="E18" s="105"/>
      <c r="F18" s="102"/>
      <c r="Z18" s="178"/>
      <c r="AA18" s="141" t="s">
        <v>80</v>
      </c>
    </row>
    <row r="19" spans="2:27" s="139" customFormat="1" ht="14.1" customHeight="1" x14ac:dyDescent="0.2">
      <c r="B19" s="100">
        <f t="shared" si="0"/>
        <v>19</v>
      </c>
      <c r="C19" s="162" t="s">
        <v>152</v>
      </c>
      <c r="D19" s="101" t="str">
        <f ca="1">"Alter (am "&amp;Y16&amp;")"</f>
        <v>Alter (am 21.10.2022)</v>
      </c>
      <c r="E19" s="106" t="str">
        <f ca="1">DATEDIF(DAT_GEB,E16+1,"y")&amp;" Jahre"  &amp;" "&amp;DATEDIF(DAT_GEB,E16+1,"ym")&amp;" Mon."</f>
        <v>44 Jahre 8 Mon.</v>
      </c>
      <c r="F19" s="102"/>
      <c r="Z19" s="178"/>
      <c r="AA19" s="141" t="s">
        <v>95</v>
      </c>
    </row>
    <row r="20" spans="2:27" s="139" customFormat="1" ht="14.1" customHeight="1" x14ac:dyDescent="0.2">
      <c r="B20" s="100">
        <f t="shared" si="0"/>
        <v>20</v>
      </c>
      <c r="C20" s="165"/>
      <c r="D20" s="101" t="str">
        <f ca="1">"Betriebszugehörigkeit (am "&amp;Y16&amp;")"</f>
        <v>Betriebszugehörigkeit (am 21.10.2022)</v>
      </c>
      <c r="E20" s="106" t="str">
        <f ca="1">DATEDIF(DAT_EIN,E16+1,"y")&amp;" Jahre"  &amp;" "&amp;DATEDIF(DAT_EIN,E16+1,"ym")&amp;" Mon."</f>
        <v>11 Jahre 9 Mon.</v>
      </c>
      <c r="F20" s="102"/>
      <c r="Z20" s="142"/>
      <c r="AA20" s="143">
        <v>1</v>
      </c>
    </row>
    <row r="21" spans="2:27" s="139" customFormat="1" ht="14.1" customHeight="1" x14ac:dyDescent="0.2">
      <c r="B21" s="100">
        <f t="shared" si="0"/>
        <v>21</v>
      </c>
      <c r="C21" s="165"/>
      <c r="D21" s="101" t="str">
        <f ca="1">"Alter (am "&amp;Y30&amp;")"</f>
        <v>Alter (am 28.02.2023)</v>
      </c>
      <c r="E21" s="106" t="str">
        <f ca="1">DATEDIF(DAT_GEB,DAT_FRIST_END+1,"y")&amp;" Jahre"  &amp;" "&amp;DATEDIF(DAT_GEB,DAT_FRIST_END+1,"ym")&amp;" Mon."</f>
        <v>45 Jahre 0 Mon.</v>
      </c>
      <c r="F21" s="102"/>
      <c r="K21" s="144"/>
      <c r="L21" s="144"/>
      <c r="Z21" s="142"/>
      <c r="AA21" s="145">
        <f>AA20+1</f>
        <v>2</v>
      </c>
    </row>
    <row r="22" spans="2:27" s="139" customFormat="1" ht="14.1" customHeight="1" x14ac:dyDescent="0.2">
      <c r="B22" s="100">
        <f t="shared" si="0"/>
        <v>22</v>
      </c>
      <c r="C22" s="166"/>
      <c r="D22" s="103" t="str">
        <f ca="1">"Betriebszugehörigkeit (am "&amp;Y30&amp;")"</f>
        <v>Betriebszugehörigkeit (am 28.02.2023)</v>
      </c>
      <c r="E22" s="107" t="str">
        <f ca="1">DATEDIF(DAT_EIN,DAT_FRIST_END+1,"y")&amp;" Jahre"  &amp;" "&amp;DATEDIF(DAT_EIN,DAT_FRIST_END+1,"ym")&amp;" Mon."</f>
        <v>12 Jahre 2 Mon.</v>
      </c>
      <c r="F22" s="102"/>
      <c r="K22" s="144"/>
      <c r="L22" s="144"/>
      <c r="Z22" s="142"/>
      <c r="AA22" s="145">
        <f t="shared" ref="AA22:AA49" si="1">AA21+1</f>
        <v>3</v>
      </c>
    </row>
    <row r="23" spans="2:27" s="139" customFormat="1" ht="14.1" customHeight="1" x14ac:dyDescent="0.2">
      <c r="B23" s="100">
        <f t="shared" si="0"/>
        <v>23</v>
      </c>
      <c r="C23" s="108"/>
      <c r="D23" s="109"/>
      <c r="E23" s="110"/>
      <c r="F23" s="102"/>
      <c r="K23" s="144"/>
      <c r="L23" s="144"/>
      <c r="Z23" s="142"/>
      <c r="AA23" s="145">
        <f t="shared" si="1"/>
        <v>4</v>
      </c>
    </row>
    <row r="24" spans="2:27" s="139" customFormat="1" ht="14.1" customHeight="1" x14ac:dyDescent="0.2">
      <c r="B24" s="100">
        <f t="shared" si="0"/>
        <v>24</v>
      </c>
      <c r="C24" s="165" t="s">
        <v>133</v>
      </c>
      <c r="D24" s="101" t="s">
        <v>130</v>
      </c>
      <c r="E24" s="111">
        <f ca="1">Künd_Frist!B32</f>
        <v>44895</v>
      </c>
      <c r="F24" s="102"/>
      <c r="K24" s="144"/>
      <c r="L24" s="144"/>
      <c r="Z24" s="142"/>
      <c r="AA24" s="145">
        <f t="shared" si="1"/>
        <v>5</v>
      </c>
    </row>
    <row r="25" spans="2:27" s="139" customFormat="1" ht="14.1" customHeight="1" x14ac:dyDescent="0.2">
      <c r="B25" s="100">
        <f t="shared" si="0"/>
        <v>25</v>
      </c>
      <c r="C25" s="165"/>
      <c r="D25" s="112" t="s">
        <v>131</v>
      </c>
      <c r="E25" s="154">
        <f ca="1">Künd_Frist!B39</f>
        <v>4</v>
      </c>
      <c r="F25" s="102"/>
      <c r="K25" s="144"/>
      <c r="L25" s="144"/>
      <c r="Z25" s="142"/>
      <c r="AA25" s="145">
        <f t="shared" si="1"/>
        <v>6</v>
      </c>
    </row>
    <row r="26" spans="2:27" s="139" customFormat="1" ht="14.1" customHeight="1" x14ac:dyDescent="0.2">
      <c r="B26" s="100">
        <f t="shared" si="0"/>
        <v>26</v>
      </c>
      <c r="C26" s="165"/>
      <c r="D26" s="101" t="s">
        <v>171</v>
      </c>
      <c r="E26" s="111">
        <f ca="1">Künd_Frist!B42</f>
        <v>44985</v>
      </c>
      <c r="F26" s="102"/>
      <c r="H26" s="146"/>
      <c r="K26" s="144"/>
      <c r="L26" s="144"/>
      <c r="Z26" s="142"/>
      <c r="AA26" s="145">
        <f t="shared" si="1"/>
        <v>7</v>
      </c>
    </row>
    <row r="27" spans="2:27" s="139" customFormat="1" ht="14.1" customHeight="1" x14ac:dyDescent="0.2">
      <c r="B27" s="100">
        <f t="shared" si="0"/>
        <v>27</v>
      </c>
      <c r="C27" s="165"/>
      <c r="D27" s="112" t="s">
        <v>127</v>
      </c>
      <c r="E27" s="113" t="str">
        <f>FRIST_ART</f>
        <v>keiner</v>
      </c>
      <c r="F27" s="102"/>
      <c r="I27" s="147"/>
      <c r="K27" s="144"/>
      <c r="L27" s="144"/>
      <c r="Z27" s="142"/>
      <c r="AA27" s="145">
        <f t="shared" si="1"/>
        <v>8</v>
      </c>
    </row>
    <row r="28" spans="2:27" s="139" customFormat="1" ht="14.1" customHeight="1" x14ac:dyDescent="0.2">
      <c r="B28" s="100">
        <f t="shared" si="0"/>
        <v>28</v>
      </c>
      <c r="C28" s="165"/>
      <c r="D28" s="101" t="s">
        <v>132</v>
      </c>
      <c r="E28" s="111" t="str">
        <f>VLOOKUP(E27,FRISTEN_MATRIX,2)</f>
        <v>es gelten die gesetzl. Fristen</v>
      </c>
      <c r="F28" s="102"/>
      <c r="I28" s="147"/>
      <c r="K28" s="144"/>
      <c r="L28" s="144"/>
      <c r="Z28" s="142"/>
      <c r="AA28" s="145">
        <f t="shared" si="1"/>
        <v>9</v>
      </c>
    </row>
    <row r="29" spans="2:27" s="139" customFormat="1" ht="14.1" customHeight="1" x14ac:dyDescent="0.2">
      <c r="B29" s="100">
        <f t="shared" si="0"/>
        <v>29</v>
      </c>
      <c r="C29" s="166"/>
      <c r="D29" s="112" t="str">
        <f>IF(E28="ACHTUNG: Anmerkung unten","Fristende nach § 622 BGB","Fristende (Günstigkeitsprinzip/Tarifvorrang)")</f>
        <v>Fristende (Günstigkeitsprinzip/Tarifvorrang)</v>
      </c>
      <c r="E29" s="115">
        <f ca="1">IF(E28&gt;E26,MAX(E24,E26,E28),MAX(E24,E28))</f>
        <v>44985</v>
      </c>
      <c r="F29" s="174"/>
      <c r="I29" s="147"/>
      <c r="K29" s="144"/>
      <c r="L29" s="144"/>
      <c r="Z29" s="142"/>
      <c r="AA29" s="145">
        <f t="shared" si="1"/>
        <v>10</v>
      </c>
    </row>
    <row r="30" spans="2:27" s="139" customFormat="1" ht="14.1" customHeight="1" x14ac:dyDescent="0.2">
      <c r="B30" s="100">
        <f t="shared" si="0"/>
        <v>30</v>
      </c>
      <c r="C30" s="108"/>
      <c r="D30" s="109"/>
      <c r="E30" s="116"/>
      <c r="F30" s="174"/>
      <c r="I30" s="147"/>
      <c r="Y30" s="139" t="str">
        <f ca="1">TEXT(DAT_FRIST_END,"TT.MM.JJJJ")</f>
        <v>28.02.2023</v>
      </c>
      <c r="Z30" s="142"/>
      <c r="AA30" s="145">
        <f t="shared" si="1"/>
        <v>11</v>
      </c>
    </row>
    <row r="31" spans="2:27" s="139" customFormat="1" ht="14.1" customHeight="1" x14ac:dyDescent="0.2">
      <c r="B31" s="100">
        <f t="shared" si="0"/>
        <v>31</v>
      </c>
      <c r="C31" s="165" t="s">
        <v>136</v>
      </c>
      <c r="D31" s="101" t="str">
        <f ca="1">"Arbeitstage (Mo-Frei) ab "&amp;Y17&amp;" bis "&amp;Y30</f>
        <v>Arbeitstage (Mo-Frei) ab 22.10.2022 bis 28.02.2023</v>
      </c>
      <c r="E31" s="117">
        <f ca="1">NETWORKDAYS(DAT_KÜND+1,DAT_FRIST_END,WOCHENFEIERTAGE)</f>
        <v>89</v>
      </c>
      <c r="F31" s="134"/>
      <c r="I31" s="147"/>
      <c r="Z31" s="142"/>
      <c r="AA31" s="145">
        <f t="shared" si="1"/>
        <v>12</v>
      </c>
    </row>
    <row r="32" spans="2:27" s="139" customFormat="1" ht="14.1" customHeight="1" x14ac:dyDescent="0.2">
      <c r="B32" s="100">
        <f t="shared" si="0"/>
        <v>32</v>
      </c>
      <c r="C32" s="165"/>
      <c r="D32" s="101" t="s">
        <v>119</v>
      </c>
      <c r="E32" s="117">
        <f>E17</f>
        <v>18</v>
      </c>
      <c r="F32" s="134"/>
      <c r="I32" s="147"/>
      <c r="Z32" s="142"/>
      <c r="AA32" s="145">
        <f t="shared" si="1"/>
        <v>13</v>
      </c>
    </row>
    <row r="33" spans="2:27" s="139" customFormat="1" ht="14.1" customHeight="1" x14ac:dyDescent="0.2">
      <c r="B33" s="100">
        <f t="shared" si="0"/>
        <v>33</v>
      </c>
      <c r="C33" s="165"/>
      <c r="D33" s="101" t="s">
        <v>120</v>
      </c>
      <c r="E33" s="111">
        <f ca="1">MAX(DAT_KÜND,WORKDAY(DAT_KÜND,E31-E32,WOCHENFEIERTAGE))</f>
        <v>44959</v>
      </c>
      <c r="F33" s="134"/>
      <c r="H33" s="148"/>
      <c r="I33" s="147"/>
      <c r="Z33" s="142"/>
      <c r="AA33" s="145">
        <f t="shared" si="1"/>
        <v>14</v>
      </c>
    </row>
    <row r="34" spans="2:27" s="139" customFormat="1" ht="14.1" customHeight="1" x14ac:dyDescent="0.2">
      <c r="B34" s="100">
        <f t="shared" si="0"/>
        <v>34</v>
      </c>
      <c r="C34" s="166"/>
      <c r="D34" s="103" t="s">
        <v>121</v>
      </c>
      <c r="E34" s="118">
        <f ca="1">IF(E31&gt;=E32,0,E32-E31)</f>
        <v>0</v>
      </c>
      <c r="F34" s="134"/>
      <c r="I34" s="147"/>
      <c r="Z34" s="142"/>
      <c r="AA34" s="145">
        <f t="shared" si="1"/>
        <v>15</v>
      </c>
    </row>
    <row r="35" spans="2:27" s="139" customFormat="1" ht="14.1" customHeight="1" x14ac:dyDescent="0.2">
      <c r="B35" s="100">
        <f t="shared" si="0"/>
        <v>35</v>
      </c>
      <c r="C35" s="133"/>
      <c r="D35" s="114"/>
      <c r="E35" s="119"/>
      <c r="F35" s="102"/>
      <c r="H35" s="149"/>
      <c r="I35" s="147"/>
      <c r="Z35" s="142"/>
      <c r="AA35" s="145">
        <f t="shared" si="1"/>
        <v>16</v>
      </c>
    </row>
    <row r="36" spans="2:27" s="139" customFormat="1" ht="14.1" customHeight="1" x14ac:dyDescent="0.2">
      <c r="B36" s="100">
        <f t="shared" si="0"/>
        <v>36</v>
      </c>
      <c r="C36" s="179" t="s">
        <v>172</v>
      </c>
      <c r="D36" s="179"/>
      <c r="E36" s="120">
        <f ca="1">IF(Künd_Frist!B7&gt;=58,24,IF(Künd_Frist!B7&gt;=55,18,IF(Künd_Frist!B7&gt;=50,15,12)))</f>
        <v>12</v>
      </c>
      <c r="F36" s="102"/>
      <c r="H36" s="149"/>
      <c r="I36" s="147"/>
      <c r="Z36" s="142"/>
      <c r="AA36" s="145">
        <f t="shared" si="1"/>
        <v>17</v>
      </c>
    </row>
    <row r="37" spans="2:27" s="139" customFormat="1" ht="14.1" customHeight="1" x14ac:dyDescent="0.2">
      <c r="B37" s="100"/>
      <c r="C37" s="121"/>
      <c r="D37" s="102"/>
      <c r="E37" s="122"/>
      <c r="F37" s="102"/>
      <c r="H37" s="149"/>
      <c r="I37" s="147"/>
      <c r="Z37" s="142"/>
      <c r="AA37" s="145">
        <f t="shared" si="1"/>
        <v>18</v>
      </c>
    </row>
    <row r="38" spans="2:27" ht="12" customHeight="1" x14ac:dyDescent="0.2">
      <c r="B38" s="180" t="s">
        <v>177</v>
      </c>
      <c r="C38" s="180"/>
      <c r="D38" s="180"/>
      <c r="E38" s="180"/>
      <c r="I38" s="150"/>
      <c r="Z38" s="142"/>
      <c r="AA38" s="145">
        <f t="shared" si="1"/>
        <v>19</v>
      </c>
    </row>
    <row r="39" spans="2:27" ht="12" customHeight="1" x14ac:dyDescent="0.2">
      <c r="B39" s="180"/>
      <c r="C39" s="180"/>
      <c r="D39" s="180"/>
      <c r="E39" s="180"/>
      <c r="I39" s="150"/>
      <c r="Z39" s="142"/>
      <c r="AA39" s="145">
        <f t="shared" si="1"/>
        <v>20</v>
      </c>
    </row>
    <row r="40" spans="2:27" ht="14.1" customHeight="1" x14ac:dyDescent="0.2">
      <c r="B40" s="180"/>
      <c r="C40" s="180"/>
      <c r="D40" s="180"/>
      <c r="E40" s="180"/>
      <c r="I40" s="150"/>
      <c r="Z40" s="142"/>
      <c r="AA40" s="145">
        <f t="shared" si="1"/>
        <v>21</v>
      </c>
    </row>
    <row r="41" spans="2:27" ht="14.1" customHeight="1" x14ac:dyDescent="0.2">
      <c r="B41" s="180"/>
      <c r="C41" s="180"/>
      <c r="D41" s="180"/>
      <c r="E41" s="180"/>
      <c r="I41" s="150"/>
      <c r="Z41" s="142"/>
      <c r="AA41" s="145">
        <f t="shared" si="1"/>
        <v>22</v>
      </c>
    </row>
    <row r="42" spans="2:27" ht="14.1" customHeight="1" x14ac:dyDescent="0.2">
      <c r="B42" s="180"/>
      <c r="C42" s="180"/>
      <c r="D42" s="180"/>
      <c r="E42" s="180"/>
      <c r="I42" s="150"/>
      <c r="Z42" s="142"/>
      <c r="AA42" s="145">
        <f t="shared" si="1"/>
        <v>23</v>
      </c>
    </row>
    <row r="43" spans="2:27" ht="14.1" customHeight="1" x14ac:dyDescent="0.2">
      <c r="B43" s="180"/>
      <c r="C43" s="180"/>
      <c r="D43" s="180"/>
      <c r="E43" s="180"/>
      <c r="I43" s="150"/>
      <c r="P43" s="113"/>
      <c r="Z43" s="151"/>
      <c r="AA43" s="145">
        <f t="shared" si="1"/>
        <v>24</v>
      </c>
    </row>
    <row r="44" spans="2:27" ht="14.1" customHeight="1" x14ac:dyDescent="0.2">
      <c r="B44" s="180"/>
      <c r="C44" s="180"/>
      <c r="D44" s="180"/>
      <c r="E44" s="180"/>
      <c r="I44" s="150"/>
      <c r="P44" s="113"/>
      <c r="Z44"/>
      <c r="AA44" s="145">
        <f t="shared" si="1"/>
        <v>25</v>
      </c>
    </row>
    <row r="45" spans="2:27" ht="14.1" customHeight="1" x14ac:dyDescent="0.2">
      <c r="B45" s="180"/>
      <c r="C45" s="180"/>
      <c r="D45" s="180"/>
      <c r="E45" s="180"/>
      <c r="I45" s="150"/>
      <c r="P45" s="113"/>
      <c r="Z45"/>
      <c r="AA45" s="145"/>
    </row>
    <row r="46" spans="2:27" ht="14.1" customHeight="1" x14ac:dyDescent="0.2">
      <c r="B46" s="180"/>
      <c r="C46" s="180"/>
      <c r="D46" s="180"/>
      <c r="E46" s="180"/>
      <c r="H46" s="152"/>
      <c r="I46" s="150"/>
      <c r="AA46" s="145"/>
    </row>
    <row r="47" spans="2:27" ht="14.1" customHeight="1" x14ac:dyDescent="0.2">
      <c r="B47" s="180"/>
      <c r="C47" s="180"/>
      <c r="D47" s="180"/>
      <c r="E47" s="180"/>
      <c r="I47" s="150"/>
      <c r="AA47" s="153">
        <f>AA44+1</f>
        <v>26</v>
      </c>
    </row>
    <row r="48" spans="2:27" ht="14.1" customHeight="1" x14ac:dyDescent="0.2">
      <c r="B48" s="180"/>
      <c r="C48" s="180"/>
      <c r="D48" s="180"/>
      <c r="E48" s="180"/>
      <c r="H48" s="152"/>
      <c r="I48" s="150"/>
      <c r="AA48" s="153">
        <f t="shared" si="1"/>
        <v>27</v>
      </c>
    </row>
    <row r="49" spans="2:27" ht="14.1" customHeight="1" x14ac:dyDescent="0.2">
      <c r="B49" s="180"/>
      <c r="C49" s="180"/>
      <c r="D49" s="180"/>
      <c r="E49" s="180"/>
      <c r="U49" s="124" t="s">
        <v>67</v>
      </c>
      <c r="AA49" s="153">
        <f t="shared" si="1"/>
        <v>28</v>
      </c>
    </row>
    <row r="50" spans="2:27" ht="14.1" customHeight="1" x14ac:dyDescent="0.2">
      <c r="B50" s="180"/>
      <c r="C50" s="180"/>
      <c r="D50" s="180"/>
      <c r="E50" s="180"/>
    </row>
    <row r="51" spans="2:27" ht="14.1" customHeight="1" x14ac:dyDescent="0.2">
      <c r="B51" s="180"/>
      <c r="C51" s="180"/>
      <c r="D51" s="180"/>
      <c r="E51" s="180"/>
    </row>
    <row r="52" spans="2:27" ht="14.1" customHeight="1" x14ac:dyDescent="0.2">
      <c r="B52" s="180"/>
      <c r="C52" s="180"/>
      <c r="D52" s="180"/>
      <c r="E52" s="180"/>
    </row>
    <row r="53" spans="2:27" ht="14.1" customHeight="1" x14ac:dyDescent="0.2">
      <c r="B53" s="180"/>
      <c r="C53" s="180"/>
      <c r="D53" s="180"/>
      <c r="E53" s="180"/>
    </row>
    <row r="54" spans="2:27" ht="14.1" customHeight="1" x14ac:dyDescent="0.2">
      <c r="B54" s="180"/>
      <c r="C54" s="180"/>
      <c r="D54" s="180"/>
      <c r="E54" s="180"/>
    </row>
    <row r="55" spans="2:27" ht="14.1" customHeight="1" x14ac:dyDescent="0.2">
      <c r="B55" s="180"/>
      <c r="C55" s="180"/>
      <c r="D55" s="180"/>
      <c r="E55" s="180"/>
    </row>
    <row r="56" spans="2:27" ht="14.1" customHeight="1" x14ac:dyDescent="0.2">
      <c r="B56" s="180"/>
      <c r="C56" s="180"/>
      <c r="D56" s="180"/>
      <c r="E56" s="180"/>
    </row>
    <row r="57" spans="2:27" ht="12" customHeight="1" x14ac:dyDescent="0.2">
      <c r="B57" s="180"/>
      <c r="C57" s="180"/>
      <c r="D57" s="180"/>
      <c r="E57" s="180"/>
    </row>
    <row r="58" spans="2:27" s="139" customFormat="1" ht="20.100000000000001" customHeight="1" x14ac:dyDescent="0.2">
      <c r="B58" s="168" t="s">
        <v>144</v>
      </c>
      <c r="C58" s="168"/>
      <c r="D58" s="168"/>
      <c r="E58" s="168"/>
      <c r="F58" s="168"/>
      <c r="AA58" s="124"/>
    </row>
    <row r="59" spans="2:27" s="139" customFormat="1" ht="20.100000000000001" customHeight="1" x14ac:dyDescent="0.2">
      <c r="B59" s="168" t="s">
        <v>145</v>
      </c>
      <c r="C59" s="168"/>
      <c r="D59" s="168"/>
      <c r="E59" s="168"/>
      <c r="F59" s="168"/>
    </row>
    <row r="60" spans="2:27" s="139" customFormat="1" ht="15" customHeight="1" x14ac:dyDescent="0.2">
      <c r="B60" s="125"/>
      <c r="C60" s="123"/>
      <c r="D60" s="124"/>
      <c r="E60" s="126"/>
      <c r="F60" s="124"/>
    </row>
    <row r="61" spans="2:27" s="139" customFormat="1" ht="15" customHeight="1" x14ac:dyDescent="0.2">
      <c r="B61" s="123"/>
      <c r="C61" s="123"/>
      <c r="D61" s="124"/>
      <c r="E61" s="82"/>
      <c r="F61" s="124"/>
      <c r="AA61" s="124"/>
    </row>
    <row r="62" spans="2:27" ht="12" customHeight="1" x14ac:dyDescent="0.2">
      <c r="B62" s="124"/>
      <c r="C62" s="124"/>
      <c r="Z62" s="139"/>
      <c r="AA62" s="139"/>
    </row>
    <row r="63" spans="2:27" ht="12" customHeight="1" x14ac:dyDescent="0.2">
      <c r="AA63" s="139"/>
    </row>
    <row r="64" spans="2:27" ht="12" customHeight="1" x14ac:dyDescent="0.2">
      <c r="B64" s="124"/>
      <c r="C64" s="124"/>
      <c r="AA64" s="139"/>
    </row>
  </sheetData>
  <sheetProtection algorithmName="SHA-512" hashValue="7kYGKTMiCuD4sLx6t4BjpiNwxtd/X/NDHHzHvCjuOGL8AsZatW9V+wR6TFJnyz1UQ/8a66g9dA0QQwlJNhLJXA==" saltValue="ur50sVY8Kow/OvKLbplwug==" spinCount="100000" sheet="1" selectLockedCells="1"/>
  <mergeCells count="20">
    <mergeCell ref="B59:F59"/>
    <mergeCell ref="B58:F58"/>
    <mergeCell ref="Z5:Z11"/>
    <mergeCell ref="C31:C34"/>
    <mergeCell ref="C17:D17"/>
    <mergeCell ref="C16:D16"/>
    <mergeCell ref="Z12:Z14"/>
    <mergeCell ref="F29:F30"/>
    <mergeCell ref="C7:D7"/>
    <mergeCell ref="C6:D6"/>
    <mergeCell ref="C19:C22"/>
    <mergeCell ref="C24:C29"/>
    <mergeCell ref="Z15:Z19"/>
    <mergeCell ref="C36:D36"/>
    <mergeCell ref="B38:E57"/>
    <mergeCell ref="B2:F2"/>
    <mergeCell ref="B3:F3"/>
    <mergeCell ref="C9:C11"/>
    <mergeCell ref="C12:C15"/>
    <mergeCell ref="E6:E7"/>
  </mergeCells>
  <phoneticPr fontId="1" type="noConversion"/>
  <conditionalFormatting sqref="E27">
    <cfRule type="cellIs" dxfId="5" priority="4" stopIfTrue="1" operator="equal">
      <formula>"50 Beschäftigte?"</formula>
    </cfRule>
  </conditionalFormatting>
  <dataValidations count="4">
    <dataValidation type="list" allowBlank="1" showInputMessage="1" showErrorMessage="1" sqref="E13" xr:uid="{00000000-0002-0000-0000-000000000000}">
      <formula1>$AA$20:$AA$47</formula1>
    </dataValidation>
    <dataValidation type="list" allowBlank="1" showInputMessage="1" showErrorMessage="1" sqref="E15" xr:uid="{00000000-0002-0000-0000-000001000000}">
      <formula1>$AA$15:$AA$19</formula1>
    </dataValidation>
    <dataValidation type="list" allowBlank="1" showInputMessage="1" showErrorMessage="1" sqref="E14 AA12:AA14" xr:uid="{00000000-0002-0000-0000-000002000000}">
      <formula1>$AA$12:$AA$14</formula1>
    </dataValidation>
    <dataValidation type="list" allowBlank="1" showInputMessage="1" showErrorMessage="1" sqref="E12" xr:uid="{00000000-0002-0000-0000-000003000000}">
      <formula1>$AA$5:$AA$11</formula1>
    </dataValidation>
  </dataValidations>
  <hyperlinks>
    <hyperlink ref="B59:F59" r:id="rId1" display="Bei uns bekommen Sie für Ihr gutes Geld den richtigen Rat!" xr:uid="{00000000-0004-0000-0000-000000000000}"/>
    <hyperlink ref="B2:F2" r:id="rId2" display="                   Rechtsanwälte Gnann, Thauer &amp; Kollegen  |  Kanzlei für Arbeitsrecht | Die Arbeitnehmeranwälte" xr:uid="{00000000-0004-0000-0000-000001000000}"/>
    <hyperlink ref="B3:F3" r:id="rId3" display="                    Tel: 0761-70409-0 | Bertoldstr. 48 | 79098 Freiburg | www.arbeitsrecht24.com | info@arbeitsrecht24.com" xr:uid="{00000000-0004-0000-0000-000002000000}"/>
    <hyperlink ref="D26" r:id="rId4" xr:uid="{00000000-0004-0000-0000-000004000000}"/>
    <hyperlink ref="D29" r:id="rId5" display="http://www.gesetze-im-internet.de/bgb/__622.html" xr:uid="{00000000-0004-0000-0000-000005000000}"/>
    <hyperlink ref="C36:D36" r:id="rId6" display="Max. Anspruch  Arbeitslosengeld " xr:uid="{00000000-0004-0000-0000-000006000000}"/>
  </hyperlinks>
  <printOptions horizontalCentered="1" verticalCentered="1"/>
  <pageMargins left="0.82677165354330717" right="0" top="0.35433070866141736" bottom="0.35433070866141736" header="0" footer="0"/>
  <pageSetup paperSize="9" scale="96" orientation="portrait" r:id="rId7"/>
  <headerFooter alignWithMargins="0"/>
  <ignoredErrors>
    <ignoredError sqref="E29" unlockedFormula="1"/>
  </ignoredErrors>
  <drawing r:id="rId8"/>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sheetPr>
  <dimension ref="A1:I62"/>
  <sheetViews>
    <sheetView view="pageBreakPreview" topLeftCell="A19" zoomScaleNormal="100" zoomScaleSheetLayoutView="100" workbookViewId="0">
      <selection activeCell="B38" sqref="B38:D57"/>
    </sheetView>
  </sheetViews>
  <sheetFormatPr baseColWidth="10" defaultColWidth="11.375" defaultRowHeight="11.4" x14ac:dyDescent="0.2"/>
  <cols>
    <col min="1" max="1" width="32.625" style="18" customWidth="1"/>
    <col min="2" max="2" width="14.75" style="18" customWidth="1"/>
    <col min="3" max="4" width="11.375" style="18"/>
    <col min="5" max="5" width="23.75" style="18" customWidth="1"/>
    <col min="6" max="7" width="11.375" style="18"/>
    <col min="8" max="8" width="23.75" style="18" customWidth="1"/>
    <col min="9" max="16384" width="11.375" style="18"/>
  </cols>
  <sheetData>
    <row r="1" spans="1:9" ht="12" x14ac:dyDescent="0.2">
      <c r="A1" s="15" t="s">
        <v>10</v>
      </c>
      <c r="B1" s="16"/>
      <c r="C1" s="17"/>
      <c r="E1" s="15" t="s">
        <v>44</v>
      </c>
      <c r="F1" s="17"/>
    </row>
    <row r="2" spans="1:9" ht="12" x14ac:dyDescent="0.2">
      <c r="A2" s="19" t="s">
        <v>11</v>
      </c>
      <c r="B2" s="20">
        <f>DAT_EIN</f>
        <v>40544</v>
      </c>
      <c r="C2" s="21"/>
      <c r="E2" s="24"/>
      <c r="F2" s="21"/>
    </row>
    <row r="3" spans="1:9" ht="12" x14ac:dyDescent="0.2">
      <c r="A3" s="24" t="s">
        <v>12</v>
      </c>
      <c r="B3" s="25">
        <f ca="1">DAT_KÜND</f>
        <v>44855</v>
      </c>
      <c r="C3" s="21"/>
      <c r="E3" s="24" t="s">
        <v>46</v>
      </c>
      <c r="F3" s="21" t="str">
        <f ca="1">IF(AND(B6&gt;=53,B5&gt;=3)=TRUE,"ja","nein")</f>
        <v>nein</v>
      </c>
    </row>
    <row r="4" spans="1:9" x14ac:dyDescent="0.2">
      <c r="A4" s="19" t="s">
        <v>13</v>
      </c>
      <c r="B4" s="18">
        <f ca="1">DATEDIF(DAT_EIN,DAT_KÜND+1,"y")</f>
        <v>11</v>
      </c>
      <c r="C4" s="21"/>
      <c r="E4" s="19" t="s">
        <v>100</v>
      </c>
      <c r="F4" s="21">
        <f ca="1">DATEDIF(DAT_EIN-1,DAT_KÜND,"m")</f>
        <v>141</v>
      </c>
    </row>
    <row r="5" spans="1:9" x14ac:dyDescent="0.2">
      <c r="A5" s="19" t="s">
        <v>14</v>
      </c>
      <c r="B5" s="18">
        <f ca="1">DATEDIF(DAT_EIN,DAT_KÜND+1,"m")</f>
        <v>141</v>
      </c>
      <c r="C5" s="21"/>
      <c r="E5" s="19" t="s">
        <v>86</v>
      </c>
      <c r="F5" s="21">
        <f ca="1">DATEDIF(DAT_EIN,DAT_KÜND+1,"y")</f>
        <v>11</v>
      </c>
    </row>
    <row r="6" spans="1:9" ht="12" x14ac:dyDescent="0.2">
      <c r="A6" s="81" t="s">
        <v>123</v>
      </c>
      <c r="B6" s="18">
        <f ca="1">DATEDIF(DAT_GEB,DAT_KÜND+1,"y")</f>
        <v>44</v>
      </c>
      <c r="C6" s="21"/>
      <c r="E6" s="24"/>
      <c r="F6" s="21"/>
      <c r="H6"/>
      <c r="I6"/>
    </row>
    <row r="7" spans="1:9" x14ac:dyDescent="0.2">
      <c r="A7" s="81" t="s">
        <v>134</v>
      </c>
      <c r="B7" s="18">
        <f ca="1">DATEDIF(DAT_GEB,DAT_FRIST_END+1,"y")</f>
        <v>45</v>
      </c>
      <c r="C7" s="21"/>
      <c r="E7" s="19" t="s">
        <v>39</v>
      </c>
      <c r="F7" s="21">
        <f ca="1">IF(F4&lt;=3,1,IF(F5&gt;=5,VLOOKUP(F5,TAB_METALL,2),2))</f>
        <v>5</v>
      </c>
      <c r="H7"/>
      <c r="I7"/>
    </row>
    <row r="8" spans="1:9" x14ac:dyDescent="0.2">
      <c r="A8" s="19" t="s">
        <v>3</v>
      </c>
      <c r="B8" s="18">
        <f>Kündigungsfristen_Rechner!E13</f>
        <v>1</v>
      </c>
      <c r="C8" s="21" t="str">
        <f>FRIST_WERT</f>
        <v>Monat(e)</v>
      </c>
      <c r="E8" s="22" t="s">
        <v>29</v>
      </c>
      <c r="F8" s="30">
        <f ca="1">EOMONTH(DAT_KÜND,F7)</f>
        <v>45016</v>
      </c>
      <c r="H8"/>
      <c r="I8"/>
    </row>
    <row r="9" spans="1:9" ht="12" x14ac:dyDescent="0.2">
      <c r="A9" s="181" t="s">
        <v>155</v>
      </c>
      <c r="B9" s="182"/>
      <c r="C9" s="73"/>
      <c r="E9" s="19" t="s">
        <v>31</v>
      </c>
      <c r="F9" s="21">
        <f ca="1">IF(F5&gt;=5,VLOOKUP(MONTH(F8),TAB_QUART,2),0)</f>
        <v>0</v>
      </c>
      <c r="H9"/>
      <c r="I9"/>
    </row>
    <row r="10" spans="1:9" x14ac:dyDescent="0.2">
      <c r="A10" s="127" t="s">
        <v>91</v>
      </c>
      <c r="B10" s="20">
        <f ca="1">B3+B8</f>
        <v>44856</v>
      </c>
      <c r="C10" s="21"/>
      <c r="E10" s="19"/>
      <c r="F10" s="21"/>
      <c r="H10"/>
      <c r="I10"/>
    </row>
    <row r="11" spans="1:9" ht="12" thickBot="1" x14ac:dyDescent="0.25">
      <c r="A11" s="127" t="s">
        <v>156</v>
      </c>
      <c r="B11" s="20">
        <f ca="1">IF(FRIST_ENDE="Wochenende",B10+7-WEEKDAY(B10,2),Künd_Frist!B10)</f>
        <v>44856</v>
      </c>
      <c r="C11" s="21"/>
      <c r="E11" s="31" t="s">
        <v>40</v>
      </c>
      <c r="F11" s="32">
        <f ca="1">EOMONTH(F8,F9)</f>
        <v>45016</v>
      </c>
      <c r="H11"/>
      <c r="I11"/>
    </row>
    <row r="12" spans="1:9" x14ac:dyDescent="0.2">
      <c r="A12" s="127" t="s">
        <v>157</v>
      </c>
      <c r="B12" s="20">
        <f ca="1">IF(FRIST_ENDE="Monatsende",EOMONTH(B10,0),B10)</f>
        <v>44865</v>
      </c>
      <c r="C12" s="21"/>
      <c r="F12" s="20"/>
      <c r="H12"/>
      <c r="I12"/>
    </row>
    <row r="13" spans="1:9" ht="12.6" thickBot="1" x14ac:dyDescent="0.25">
      <c r="A13" s="128" t="str">
        <f>"tatsächl. Fristablauf bei: "&amp;FRIST_ENDE</f>
        <v>tatsächl. Fristablauf bei: Monatsende</v>
      </c>
      <c r="B13" s="25">
        <f ca="1">IF(FRIST_ENDE="Tagesende",B10,IF(FRIST_ENDE="Wochenende",B11,B12))</f>
        <v>44865</v>
      </c>
      <c r="C13" s="21"/>
      <c r="G13" s="25"/>
      <c r="H13"/>
      <c r="I13"/>
    </row>
    <row r="14" spans="1:9" ht="12" x14ac:dyDescent="0.2">
      <c r="A14" s="181" t="s">
        <v>158</v>
      </c>
      <c r="B14" s="182"/>
      <c r="C14" s="73"/>
      <c r="E14" s="15" t="s">
        <v>149</v>
      </c>
      <c r="F14" s="17"/>
      <c r="G14" s="25"/>
    </row>
    <row r="15" spans="1:9" ht="12" x14ac:dyDescent="0.2">
      <c r="A15" s="22" t="s">
        <v>28</v>
      </c>
      <c r="B15" s="23">
        <f ca="1">B3+B8*7</f>
        <v>44862</v>
      </c>
      <c r="C15" s="21"/>
      <c r="E15" s="24"/>
      <c r="F15" s="21"/>
      <c r="G15" s="25"/>
    </row>
    <row r="16" spans="1:9" ht="12" x14ac:dyDescent="0.2">
      <c r="A16" s="22" t="s">
        <v>81</v>
      </c>
      <c r="B16" s="23">
        <f ca="1">B15+7-WEEKDAY(B15,2)</f>
        <v>44864</v>
      </c>
      <c r="C16" s="21"/>
      <c r="E16" s="24" t="s">
        <v>46</v>
      </c>
      <c r="F16" s="21" t="str">
        <f ca="1">IF(AND(B6&gt;=40,B5&gt;=15)=TRUE,"ja","nein")</f>
        <v>ja</v>
      </c>
      <c r="G16" s="20"/>
    </row>
    <row r="17" spans="1:9" ht="12" x14ac:dyDescent="0.2">
      <c r="A17" s="22" t="s">
        <v>30</v>
      </c>
      <c r="B17" s="20">
        <f ca="1">EOMONTH(B15,0)</f>
        <v>44865</v>
      </c>
      <c r="C17" s="21"/>
      <c r="E17" s="24"/>
      <c r="F17" s="21"/>
    </row>
    <row r="18" spans="1:9" x14ac:dyDescent="0.2">
      <c r="A18" s="22" t="s">
        <v>31</v>
      </c>
      <c r="B18" s="18">
        <f ca="1">VLOOKUP(MONTH(B17),TAB_QUART,2)</f>
        <v>2</v>
      </c>
      <c r="C18" s="21"/>
      <c r="D18" s="18" t="s">
        <v>59</v>
      </c>
      <c r="E18" s="19"/>
      <c r="F18" s="21"/>
    </row>
    <row r="19" spans="1:9" x14ac:dyDescent="0.2">
      <c r="A19" s="22" t="s">
        <v>32</v>
      </c>
      <c r="B19" s="20">
        <f ca="1">IF(FRIST_ENDE="Quartalsende",EOMONTH(B17,B18),B17)</f>
        <v>44865</v>
      </c>
      <c r="C19" s="21"/>
      <c r="E19" s="19" t="s">
        <v>15</v>
      </c>
      <c r="F19" s="21">
        <f ca="1">IF(B4&lt;1,"1 Mon",IF(B4&gt;=5,VLOOKUP(B4,TAB_BAT,2),"6 Wo"))</f>
        <v>5</v>
      </c>
      <c r="G19" s="20"/>
    </row>
    <row r="20" spans="1:9" ht="12" x14ac:dyDescent="0.25">
      <c r="A20" s="72" t="str">
        <f>"tatsächl. Fristablauf bei: "&amp;FRIST_ENDE</f>
        <v>tatsächl. Fristablauf bei: Monatsende</v>
      </c>
      <c r="B20" s="25">
        <f ca="1">IF(FRIST_ENDE="Tagesende",B15,IF(FRIST_ENDE="Wochenende",B16,IF(FRIST_ENDE="Monatsende",B17,B19)))</f>
        <v>44865</v>
      </c>
      <c r="C20" s="21"/>
      <c r="E20" s="19" t="s">
        <v>49</v>
      </c>
      <c r="F20" s="29">
        <f ca="1">EOMONTH(DAT_KÜND,1)</f>
        <v>44895</v>
      </c>
      <c r="G20" s="20"/>
    </row>
    <row r="21" spans="1:9" ht="12" x14ac:dyDescent="0.2">
      <c r="A21" s="181" t="s">
        <v>102</v>
      </c>
      <c r="B21" s="182"/>
      <c r="C21" s="73" t="str">
        <f>IF(FRIST_WERT="Monat(e)","JA","NEIN")</f>
        <v>JA</v>
      </c>
      <c r="E21" s="19" t="s">
        <v>50</v>
      </c>
      <c r="F21" s="29">
        <f ca="1">DAT_KÜND+42</f>
        <v>44897</v>
      </c>
      <c r="G21" s="20"/>
    </row>
    <row r="22" spans="1:9" x14ac:dyDescent="0.2">
      <c r="A22" s="22" t="s">
        <v>29</v>
      </c>
      <c r="B22" s="23">
        <f ca="1">EDATE(B3,B8)</f>
        <v>44886</v>
      </c>
      <c r="C22" s="21"/>
      <c r="E22" s="19" t="s">
        <v>51</v>
      </c>
      <c r="F22" s="29">
        <f ca="1">EOMONTH(DAT_KÜND,VLOOKUP(B4,TAB_BAT,2))</f>
        <v>45016</v>
      </c>
    </row>
    <row r="23" spans="1:9" ht="12" x14ac:dyDescent="0.2">
      <c r="A23" s="83" t="s">
        <v>81</v>
      </c>
      <c r="B23" s="23">
        <f ca="1">IF(FRIST_ENDE="Wochenende",B22+7-WEEKDAY(B22,2),Künd_Frist!B22)</f>
        <v>44886</v>
      </c>
      <c r="C23" s="21"/>
      <c r="E23" s="39" t="s">
        <v>52</v>
      </c>
      <c r="F23" s="30">
        <f ca="1">IF(B4&lt;1,F20,IF(B4&gt;=5,F22,F21))</f>
        <v>45016</v>
      </c>
      <c r="H23" s="47"/>
    </row>
    <row r="24" spans="1:9" x14ac:dyDescent="0.2">
      <c r="A24" s="22" t="s">
        <v>30</v>
      </c>
      <c r="B24" s="20">
        <f ca="1">EOMONTH(B22,0)</f>
        <v>44895</v>
      </c>
      <c r="C24" s="21"/>
      <c r="E24" s="19" t="s">
        <v>53</v>
      </c>
      <c r="F24" s="21">
        <f ca="1">IF(B4&lt;1,0,VLOOKUP(MONTH(F23),TAB_QUART,2))</f>
        <v>0</v>
      </c>
      <c r="I24" s="20"/>
    </row>
    <row r="25" spans="1:9" x14ac:dyDescent="0.2">
      <c r="A25" s="22" t="s">
        <v>31</v>
      </c>
      <c r="B25" s="18">
        <f ca="1">VLOOKUP(MONTH(B22),TAB_QUART,2)</f>
        <v>1</v>
      </c>
      <c r="C25" s="21"/>
      <c r="E25" s="19" t="s">
        <v>104</v>
      </c>
      <c r="F25" s="29">
        <f ca="1">EOMONTH(F23,F24)</f>
        <v>45016</v>
      </c>
      <c r="I25" s="20"/>
    </row>
    <row r="26" spans="1:9" ht="12" thickBot="1" x14ac:dyDescent="0.25">
      <c r="A26" s="22" t="s">
        <v>32</v>
      </c>
      <c r="B26" s="20">
        <f ca="1">EOMONTH(B22,B25)</f>
        <v>44926</v>
      </c>
      <c r="C26" s="21"/>
      <c r="E26" s="31" t="s">
        <v>105</v>
      </c>
      <c r="F26" s="32">
        <f ca="1">IF(B5/12&lt;1,F20,F25)</f>
        <v>45016</v>
      </c>
    </row>
    <row r="27" spans="1:9" x14ac:dyDescent="0.2">
      <c r="A27" s="22" t="s">
        <v>33</v>
      </c>
      <c r="B27" s="18">
        <f ca="1">IF(OR(MONTH(B26)=6,MONTH(B26)=12)=TRUE,0,3)</f>
        <v>0</v>
      </c>
      <c r="C27" s="21"/>
      <c r="I27" s="20"/>
    </row>
    <row r="28" spans="1:9" ht="12" thickBot="1" x14ac:dyDescent="0.25">
      <c r="A28" s="22" t="s">
        <v>34</v>
      </c>
      <c r="B28" s="20">
        <f ca="1">EOMONTH(B26,B27)</f>
        <v>44926</v>
      </c>
      <c r="C28" s="21"/>
      <c r="I28" s="20"/>
    </row>
    <row r="29" spans="1:9" ht="12" x14ac:dyDescent="0.2">
      <c r="A29" s="22" t="s">
        <v>94</v>
      </c>
      <c r="B29" s="18">
        <f ca="1">IF(MONTH(B28)=12,0,6)</f>
        <v>0</v>
      </c>
      <c r="C29" s="21"/>
      <c r="E29" s="15" t="s">
        <v>64</v>
      </c>
      <c r="F29" s="17"/>
      <c r="I29" s="20"/>
    </row>
    <row r="30" spans="1:9" ht="12" x14ac:dyDescent="0.2">
      <c r="A30" s="22" t="s">
        <v>35</v>
      </c>
      <c r="B30" s="20">
        <f ca="1">EOMONTH(B28,B29)</f>
        <v>44926</v>
      </c>
      <c r="C30" s="21"/>
      <c r="E30" s="24"/>
      <c r="F30" s="21"/>
      <c r="I30" s="20"/>
    </row>
    <row r="31" spans="1:9" ht="12" x14ac:dyDescent="0.25">
      <c r="A31" s="72" t="str">
        <f>"tatsächl. Fristablauf bei: "&amp;FRIST_ENDE</f>
        <v>tatsächl. Fristablauf bei: Monatsende</v>
      </c>
      <c r="B31" s="25">
        <f ca="1">IF(FRIST_ENDE="Tagesende",B22,IF(FRIST_ENDE="Wochenende",B23,IF(FRIST_ENDE="Monatsende",B24,IF(FRIST_ENDE="Quartalsende",B26,IF(FRIST_ENDE="Halbjahresende",B28,B30)))))</f>
        <v>44895</v>
      </c>
      <c r="C31" s="21"/>
      <c r="E31" s="24" t="s">
        <v>46</v>
      </c>
      <c r="F31" s="21" t="str">
        <f ca="1">IF(AND(B6&gt;=55,B5&gt;=15)=TRUE,"ja","nein")</f>
        <v>nein</v>
      </c>
      <c r="I31" s="20"/>
    </row>
    <row r="32" spans="1:9" ht="12.6" thickBot="1" x14ac:dyDescent="0.25">
      <c r="A32" s="78" t="s">
        <v>93</v>
      </c>
      <c r="B32" s="79">
        <f ca="1">IF(FRIST_WERT="Tage",B13,IF(FRIST_WERT="Wochen",B20,B31))</f>
        <v>44895</v>
      </c>
      <c r="C32" s="80"/>
      <c r="E32" s="24"/>
      <c r="F32" s="21"/>
    </row>
    <row r="33" spans="1:6" ht="12" x14ac:dyDescent="0.2">
      <c r="A33"/>
      <c r="B33"/>
      <c r="C33"/>
      <c r="E33" s="24" t="s">
        <v>65</v>
      </c>
      <c r="F33" s="29">
        <f ca="1">EOMONTH(DAT_KÜND+42,0)</f>
        <v>44926</v>
      </c>
    </row>
    <row r="34" spans="1:6" ht="12" x14ac:dyDescent="0.2">
      <c r="A34" s="47"/>
      <c r="E34" s="24" t="s">
        <v>45</v>
      </c>
      <c r="F34" s="21"/>
    </row>
    <row r="35" spans="1:6" ht="12" x14ac:dyDescent="0.2">
      <c r="A35" s="47"/>
      <c r="B35" s="25"/>
      <c r="E35" s="91" t="s">
        <v>56</v>
      </c>
      <c r="F35" s="21">
        <f ca="1">B4</f>
        <v>11</v>
      </c>
    </row>
    <row r="36" spans="1:6" ht="12" thickBot="1" x14ac:dyDescent="0.25">
      <c r="B36" s="20"/>
      <c r="E36" s="91" t="s">
        <v>39</v>
      </c>
      <c r="F36" s="21">
        <f ca="1">IF(F35&lt;5,"keine 5 Jahre",VLOOKUP(F35,TAB_EINZELHANDEL,2))</f>
        <v>5</v>
      </c>
    </row>
    <row r="37" spans="1:6" ht="12" x14ac:dyDescent="0.2">
      <c r="A37" s="15" t="s">
        <v>38</v>
      </c>
      <c r="B37" s="28"/>
      <c r="C37" s="17"/>
      <c r="E37" s="83" t="s">
        <v>139</v>
      </c>
      <c r="F37" s="30">
        <f ca="1">EOMONTH(DAT_KÜND,F36)</f>
        <v>45016</v>
      </c>
    </row>
    <row r="38" spans="1:6" ht="12" thickBot="1" x14ac:dyDescent="0.25">
      <c r="A38" s="19" t="s">
        <v>96</v>
      </c>
      <c r="B38" s="18">
        <f ca="1">B4</f>
        <v>11</v>
      </c>
      <c r="C38" s="21"/>
      <c r="E38" s="31" t="s">
        <v>66</v>
      </c>
      <c r="F38" s="32">
        <f ca="1">IF(F35&lt;5,F33,F37)</f>
        <v>45016</v>
      </c>
    </row>
    <row r="39" spans="1:6" x14ac:dyDescent="0.2">
      <c r="A39" s="19" t="s">
        <v>39</v>
      </c>
      <c r="B39" s="18">
        <f ca="1">IF(B38&lt;2,"4 Wo",VLOOKUP(B38,TAB_BGB,2))</f>
        <v>4</v>
      </c>
      <c r="C39" s="21"/>
      <c r="F39" s="20"/>
    </row>
    <row r="40" spans="1:6" ht="12" thickBot="1" x14ac:dyDescent="0.25">
      <c r="A40" s="19" t="s">
        <v>41</v>
      </c>
      <c r="B40" s="20">
        <f ca="1">DAT_KÜND+28</f>
        <v>44883</v>
      </c>
      <c r="C40" s="21"/>
    </row>
    <row r="41" spans="1:6" ht="12" x14ac:dyDescent="0.2">
      <c r="A41" s="19" t="s">
        <v>42</v>
      </c>
      <c r="B41" s="20">
        <f ca="1">IF(DAY(B40)&gt;15,EOMONTH(B40,0),EOMONTH(B40,-1)+15)</f>
        <v>44895</v>
      </c>
      <c r="C41" s="21"/>
      <c r="E41" s="15" t="s">
        <v>78</v>
      </c>
      <c r="F41" s="17"/>
    </row>
    <row r="42" spans="1:6" ht="12" thickBot="1" x14ac:dyDescent="0.25">
      <c r="A42" s="31" t="s">
        <v>40</v>
      </c>
      <c r="B42" s="71">
        <f ca="1">IF(B38&lt;2,B41,EOMONTH(DAT_KÜND,VLOOKUP(B38,TAB_BGB,2)))</f>
        <v>44985</v>
      </c>
      <c r="C42" s="27"/>
      <c r="E42" s="19" t="s">
        <v>79</v>
      </c>
      <c r="F42" s="29">
        <f ca="1">DAT_KÜND+28</f>
        <v>44883</v>
      </c>
    </row>
    <row r="43" spans="1:6" x14ac:dyDescent="0.2">
      <c r="E43" s="19" t="s">
        <v>42</v>
      </c>
      <c r="F43" s="29">
        <f ca="1">IF(DAY(F42)&gt;15,EOMONTH(F42,0),EOMONTH(F42,-1))</f>
        <v>44895</v>
      </c>
    </row>
    <row r="44" spans="1:6" ht="12" thickBot="1" x14ac:dyDescent="0.25">
      <c r="E44" s="19" t="s">
        <v>40</v>
      </c>
      <c r="F44" s="29">
        <f ca="1">IF(F45&lt;2,F43,EOMONTH(DAT_KÜND,VLOOKUP(F45,TAB_BGB,2)))</f>
        <v>44985</v>
      </c>
    </row>
    <row r="45" spans="1:6" ht="12" x14ac:dyDescent="0.2">
      <c r="A45" s="15" t="s">
        <v>82</v>
      </c>
      <c r="B45" s="16"/>
      <c r="C45" s="17"/>
      <c r="E45" s="19" t="s">
        <v>56</v>
      </c>
      <c r="F45" s="21">
        <f ca="1">B4</f>
        <v>11</v>
      </c>
    </row>
    <row r="46" spans="1:6" x14ac:dyDescent="0.2">
      <c r="A46" s="19" t="s">
        <v>97</v>
      </c>
      <c r="C46" s="21"/>
      <c r="E46" s="19" t="s">
        <v>39</v>
      </c>
      <c r="F46" s="21">
        <f ca="1">IF(F45&lt;5,"keine 5 Jahre",VLOOKUP(F45,TAB_HOGA,2))</f>
        <v>5</v>
      </c>
    </row>
    <row r="47" spans="1:6" x14ac:dyDescent="0.2">
      <c r="A47" s="19" t="s">
        <v>86</v>
      </c>
      <c r="B47" s="18">
        <f ca="1">B4</f>
        <v>11</v>
      </c>
      <c r="C47" s="21"/>
      <c r="E47" s="83" t="s">
        <v>138</v>
      </c>
      <c r="F47" s="30">
        <f ca="1">EOMONTH(DAT_KÜND,F46)</f>
        <v>45016</v>
      </c>
    </row>
    <row r="48" spans="1:6" ht="12.6" thickBot="1" x14ac:dyDescent="0.25">
      <c r="A48" s="19" t="s">
        <v>84</v>
      </c>
      <c r="B48" s="18">
        <f ca="1">DATEDIF(DAT_GEB,DAT_KÜND+1,"y")+B47</f>
        <v>55</v>
      </c>
      <c r="C48" s="21"/>
      <c r="E48" s="26" t="s">
        <v>8</v>
      </c>
      <c r="F48" s="70">
        <f ca="1">IF(F45&lt;5,F44,F47)</f>
        <v>45016</v>
      </c>
    </row>
    <row r="49" spans="1:3" x14ac:dyDescent="0.2">
      <c r="A49" s="22" t="s">
        <v>3</v>
      </c>
      <c r="B49" s="48">
        <f ca="1">IF(B47&lt;2,"2 Wo",IF(B48&gt;=60,VLOOKUP(Künd_Frist!B48,TAB_CHEMIE,2),IF(AND(Künd_Frist!B47&gt;=5,Künd_Frist!B48&gt;=45)=TRUE,3,IF(AND(Künd_Frist!B47&gt;=5,Künd_Frist!B48&gt;=40)=TRUE,2,IF(AND(Künd_Frist!B47&gt;=3,Künd_Frist!B48&gt;=35)=TRUE,"6 Wo",IF(AND(Künd_Frist!B47&gt;=2,Künd_Frist!B48&gt;=26)=TRUE,1,"???"))))))</f>
        <v>3</v>
      </c>
      <c r="C49" s="21"/>
    </row>
    <row r="50" spans="1:3" x14ac:dyDescent="0.2">
      <c r="A50" s="22" t="s">
        <v>87</v>
      </c>
      <c r="B50" s="23">
        <f ca="1">IF(B49="2 Wo",DAT_KÜND+14,IF(B49="6 Wo",DAT_KÜND+42,EOMONTH(DAT_KÜND,B49)))</f>
        <v>44957</v>
      </c>
      <c r="C50" s="21"/>
    </row>
    <row r="51" spans="1:3" x14ac:dyDescent="0.2">
      <c r="A51" s="22" t="s">
        <v>5</v>
      </c>
      <c r="B51" s="48" t="str">
        <f ca="1">IF(B47&lt;2,"exakt",IF(OR(B47&lt;5,B48&lt;45)=TRUE,"Monatsende","Quartalsende"))</f>
        <v>Quartalsende</v>
      </c>
      <c r="C51" s="21"/>
    </row>
    <row r="52" spans="1:3" x14ac:dyDescent="0.2">
      <c r="A52" s="22" t="s">
        <v>89</v>
      </c>
      <c r="B52" s="48">
        <f ca="1">VLOOKUP(MONTH(B50),TAB_QUART,2)</f>
        <v>2</v>
      </c>
      <c r="C52" s="21"/>
    </row>
    <row r="53" spans="1:3" ht="12.6" thickBot="1" x14ac:dyDescent="0.25">
      <c r="A53" s="26" t="s">
        <v>88</v>
      </c>
      <c r="B53" s="71">
        <f ca="1">IF(B51="exakt",B50,IF(B51="Monatsende",EOMONTH(B50,0),EOMONTH(B50,B52)))</f>
        <v>45016</v>
      </c>
      <c r="C53" s="27"/>
    </row>
    <row r="55" spans="1:3" ht="12" thickBot="1" x14ac:dyDescent="0.25"/>
    <row r="56" spans="1:3" x14ac:dyDescent="0.2">
      <c r="A56" s="135" t="s">
        <v>118</v>
      </c>
      <c r="B56" s="189" t="s">
        <v>175</v>
      </c>
      <c r="C56" s="190"/>
    </row>
    <row r="57" spans="1:3" x14ac:dyDescent="0.2">
      <c r="A57" s="136" t="s">
        <v>147</v>
      </c>
      <c r="B57" s="185">
        <f ca="1">B42</f>
        <v>44985</v>
      </c>
      <c r="C57" s="186"/>
    </row>
    <row r="58" spans="1:3" x14ac:dyDescent="0.2">
      <c r="A58" s="137" t="s">
        <v>63</v>
      </c>
      <c r="B58" s="185">
        <f ca="1">F38</f>
        <v>45016</v>
      </c>
      <c r="C58" s="186"/>
    </row>
    <row r="59" spans="1:3" x14ac:dyDescent="0.2">
      <c r="A59" s="137" t="s">
        <v>106</v>
      </c>
      <c r="B59" s="185">
        <f ca="1">F48</f>
        <v>45016</v>
      </c>
      <c r="C59" s="186"/>
    </row>
    <row r="60" spans="1:3" x14ac:dyDescent="0.2">
      <c r="A60" s="137" t="s">
        <v>90</v>
      </c>
      <c r="B60" s="187" t="s">
        <v>174</v>
      </c>
      <c r="C60" s="188"/>
    </row>
    <row r="61" spans="1:3" x14ac:dyDescent="0.2">
      <c r="A61" s="137" t="s">
        <v>148</v>
      </c>
      <c r="B61" s="185">
        <f ca="1">F11</f>
        <v>45016</v>
      </c>
      <c r="C61" s="186"/>
    </row>
    <row r="62" spans="1:3" ht="12" thickBot="1" x14ac:dyDescent="0.25">
      <c r="A62" s="138" t="s">
        <v>103</v>
      </c>
      <c r="B62" s="183">
        <f ca="1">F26</f>
        <v>45016</v>
      </c>
      <c r="C62" s="184"/>
    </row>
  </sheetData>
  <mergeCells count="10">
    <mergeCell ref="A14:B14"/>
    <mergeCell ref="A21:B21"/>
    <mergeCell ref="A9:B9"/>
    <mergeCell ref="B62:C62"/>
    <mergeCell ref="B61:C61"/>
    <mergeCell ref="B60:C60"/>
    <mergeCell ref="B59:C59"/>
    <mergeCell ref="B58:C58"/>
    <mergeCell ref="B57:C57"/>
    <mergeCell ref="B56:C56"/>
  </mergeCells>
  <phoneticPr fontId="1" type="noConversion"/>
  <conditionalFormatting sqref="C14 C21">
    <cfRule type="cellIs" dxfId="4" priority="3" stopIfTrue="1" operator="equal">
      <formula>"JA"</formula>
    </cfRule>
  </conditionalFormatting>
  <conditionalFormatting sqref="A21:B21">
    <cfRule type="expression" dxfId="3" priority="4" stopIfTrue="1">
      <formula>$C$21="JA"</formula>
    </cfRule>
  </conditionalFormatting>
  <conditionalFormatting sqref="A14:B14">
    <cfRule type="expression" dxfId="2" priority="5" stopIfTrue="1">
      <formula>$C$14="JA"</formula>
    </cfRule>
  </conditionalFormatting>
  <conditionalFormatting sqref="A9:B9">
    <cfRule type="expression" dxfId="1" priority="2" stopIfTrue="1">
      <formula>$C$14="JA"</formula>
    </cfRule>
  </conditionalFormatting>
  <conditionalFormatting sqref="C9">
    <cfRule type="cellIs" dxfId="0" priority="1" stopIfTrue="1" operator="equal">
      <formula>"JA"</formula>
    </cfRule>
  </conditionalFormatting>
  <pageMargins left="0.59055118110236227" right="0.39370078740157483"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3"/>
  </sheetPr>
  <dimension ref="A1:H130"/>
  <sheetViews>
    <sheetView view="pageBreakPreview" topLeftCell="A104" zoomScaleNormal="100" zoomScaleSheetLayoutView="100" workbookViewId="0">
      <selection activeCell="B38" sqref="B38:D57"/>
    </sheetView>
  </sheetViews>
  <sheetFormatPr baseColWidth="10" defaultColWidth="11.75" defaultRowHeight="12" customHeight="1" x14ac:dyDescent="0.2"/>
  <cols>
    <col min="1" max="1" width="23.75" bestFit="1" customWidth="1"/>
  </cols>
  <sheetData>
    <row r="1" spans="1:5" ht="12" customHeight="1" x14ac:dyDescent="0.2">
      <c r="A1" s="4" t="s">
        <v>37</v>
      </c>
      <c r="C1" s="1">
        <v>1</v>
      </c>
      <c r="D1" s="1">
        <v>2</v>
      </c>
    </row>
    <row r="2" spans="1:5" ht="12" customHeight="1" x14ac:dyDescent="0.2">
      <c r="A2" s="41" t="s">
        <v>36</v>
      </c>
      <c r="C2" s="1">
        <v>2</v>
      </c>
      <c r="D2" s="1">
        <v>1</v>
      </c>
    </row>
    <row r="3" spans="1:5" ht="12" customHeight="1" x14ac:dyDescent="0.2">
      <c r="C3" s="1">
        <v>3</v>
      </c>
      <c r="D3" s="1">
        <v>0</v>
      </c>
    </row>
    <row r="4" spans="1:5" ht="12" customHeight="1" x14ac:dyDescent="0.2">
      <c r="C4" s="1">
        <v>4</v>
      </c>
      <c r="D4" s="1">
        <v>2</v>
      </c>
    </row>
    <row r="5" spans="1:5" ht="12" customHeight="1" x14ac:dyDescent="0.2">
      <c r="C5" s="1">
        <v>5</v>
      </c>
      <c r="D5" s="1">
        <v>1</v>
      </c>
    </row>
    <row r="6" spans="1:5" ht="12" customHeight="1" x14ac:dyDescent="0.2">
      <c r="C6" s="1">
        <v>6</v>
      </c>
      <c r="D6" s="1">
        <v>0</v>
      </c>
    </row>
    <row r="7" spans="1:5" ht="12" customHeight="1" x14ac:dyDescent="0.2">
      <c r="C7" s="1">
        <v>7</v>
      </c>
      <c r="D7" s="1">
        <v>2</v>
      </c>
    </row>
    <row r="8" spans="1:5" ht="12" customHeight="1" x14ac:dyDescent="0.2">
      <c r="C8" s="1">
        <v>8</v>
      </c>
      <c r="D8" s="1">
        <v>1</v>
      </c>
    </row>
    <row r="9" spans="1:5" ht="12" customHeight="1" x14ac:dyDescent="0.2">
      <c r="C9" s="1">
        <v>9</v>
      </c>
      <c r="D9" s="1">
        <v>0</v>
      </c>
    </row>
    <row r="10" spans="1:5" ht="12" customHeight="1" x14ac:dyDescent="0.2">
      <c r="C10" s="1">
        <v>10</v>
      </c>
      <c r="D10" s="1">
        <v>2</v>
      </c>
    </row>
    <row r="11" spans="1:5" ht="12" customHeight="1" x14ac:dyDescent="0.2">
      <c r="C11" s="1">
        <v>11</v>
      </c>
      <c r="D11" s="1">
        <v>1</v>
      </c>
      <c r="E11" s="2"/>
    </row>
    <row r="12" spans="1:5" ht="12" customHeight="1" x14ac:dyDescent="0.2">
      <c r="C12" s="1">
        <v>12</v>
      </c>
      <c r="D12" s="1">
        <v>0</v>
      </c>
      <c r="E12" s="2"/>
    </row>
    <row r="13" spans="1:5" ht="12" customHeight="1" x14ac:dyDescent="0.2">
      <c r="C13" s="2"/>
      <c r="D13" s="2"/>
      <c r="E13" s="2"/>
    </row>
    <row r="14" spans="1:5" ht="12" customHeight="1" x14ac:dyDescent="0.2">
      <c r="A14" s="2"/>
      <c r="B14" s="2"/>
      <c r="C14" s="2"/>
      <c r="D14" s="2"/>
      <c r="E14" s="2"/>
    </row>
    <row r="15" spans="1:5" ht="12" customHeight="1" x14ac:dyDescent="0.2">
      <c r="A15" s="197" t="s">
        <v>57</v>
      </c>
      <c r="B15" s="198"/>
      <c r="C15" s="3" t="s">
        <v>9</v>
      </c>
      <c r="D15" s="3" t="s">
        <v>15</v>
      </c>
      <c r="E15" s="2"/>
    </row>
    <row r="16" spans="1:5" ht="12" customHeight="1" x14ac:dyDescent="0.2">
      <c r="A16" s="197"/>
      <c r="B16" s="198"/>
      <c r="C16" s="3" t="s">
        <v>16</v>
      </c>
      <c r="D16" s="3" t="s">
        <v>17</v>
      </c>
      <c r="E16" s="2"/>
    </row>
    <row r="17" spans="1:7" ht="12" customHeight="1" x14ac:dyDescent="0.2">
      <c r="A17" s="2"/>
      <c r="B17" s="2"/>
      <c r="C17" s="3" t="s">
        <v>18</v>
      </c>
      <c r="D17" s="3" t="s">
        <v>19</v>
      </c>
      <c r="E17" s="2"/>
    </row>
    <row r="18" spans="1:7" ht="12" customHeight="1" x14ac:dyDescent="0.2">
      <c r="A18" s="2"/>
      <c r="B18" s="2"/>
      <c r="C18" s="3">
        <v>2</v>
      </c>
      <c r="D18" s="3">
        <v>1</v>
      </c>
      <c r="E18" s="2"/>
    </row>
    <row r="19" spans="1:7" ht="12" customHeight="1" x14ac:dyDescent="0.2">
      <c r="A19" s="2"/>
      <c r="B19" s="2"/>
      <c r="C19" s="3">
        <v>5</v>
      </c>
      <c r="D19" s="3">
        <v>2</v>
      </c>
      <c r="E19" s="2"/>
      <c r="G19" s="2"/>
    </row>
    <row r="20" spans="1:7" ht="12" customHeight="1" x14ac:dyDescent="0.2">
      <c r="A20" s="2"/>
      <c r="B20" s="2"/>
      <c r="C20" s="3">
        <v>8</v>
      </c>
      <c r="D20" s="3">
        <v>3</v>
      </c>
      <c r="E20" s="2"/>
      <c r="G20" s="2"/>
    </row>
    <row r="21" spans="1:7" ht="12" customHeight="1" x14ac:dyDescent="0.2">
      <c r="A21" s="2"/>
      <c r="B21" s="2"/>
      <c r="C21" s="3">
        <v>10</v>
      </c>
      <c r="D21" s="3">
        <v>4</v>
      </c>
      <c r="E21" s="2"/>
      <c r="G21" s="2"/>
    </row>
    <row r="22" spans="1:7" ht="12" customHeight="1" x14ac:dyDescent="0.2">
      <c r="A22" s="2"/>
      <c r="B22" s="2"/>
      <c r="C22" s="3">
        <v>12</v>
      </c>
      <c r="D22" s="3">
        <v>5</v>
      </c>
      <c r="E22" s="2"/>
      <c r="F22" s="2"/>
      <c r="G22" s="2"/>
    </row>
    <row r="23" spans="1:7" ht="12" customHeight="1" x14ac:dyDescent="0.2">
      <c r="A23" s="2"/>
      <c r="B23" s="2"/>
      <c r="C23" s="3">
        <v>15</v>
      </c>
      <c r="D23" s="3">
        <v>6</v>
      </c>
      <c r="E23" s="2"/>
      <c r="F23" s="2"/>
      <c r="G23" s="2"/>
    </row>
    <row r="24" spans="1:7" ht="12" customHeight="1" x14ac:dyDescent="0.2">
      <c r="A24" s="2"/>
      <c r="B24" s="2"/>
      <c r="C24" s="3">
        <v>20</v>
      </c>
      <c r="D24" s="3">
        <v>7</v>
      </c>
      <c r="E24" s="2"/>
      <c r="F24" s="2"/>
      <c r="G24" s="2"/>
    </row>
    <row r="25" spans="1:7" ht="12" customHeight="1" x14ac:dyDescent="0.2">
      <c r="A25" s="2"/>
      <c r="B25" s="2"/>
      <c r="C25" s="2"/>
      <c r="D25" s="2" t="s">
        <v>20</v>
      </c>
      <c r="E25" s="2"/>
      <c r="F25" s="2"/>
      <c r="G25" s="2"/>
    </row>
    <row r="26" spans="1:7" ht="12" customHeight="1" x14ac:dyDescent="0.2">
      <c r="A26" s="2"/>
      <c r="B26" s="2"/>
      <c r="C26" s="2"/>
      <c r="D26" s="2"/>
      <c r="E26" s="2"/>
      <c r="F26" s="2"/>
      <c r="G26" s="2"/>
    </row>
    <row r="27" spans="1:7" ht="12" customHeight="1" x14ac:dyDescent="0.2">
      <c r="A27" s="2"/>
      <c r="B27" s="2"/>
      <c r="C27" s="2"/>
      <c r="D27" s="2"/>
      <c r="E27" s="2"/>
    </row>
    <row r="28" spans="1:7" ht="12" customHeight="1" thickBot="1" x14ac:dyDescent="0.25">
      <c r="A28" s="191" t="s">
        <v>21</v>
      </c>
      <c r="B28" s="191"/>
      <c r="C28" s="202"/>
      <c r="D28" s="202"/>
      <c r="E28" s="2"/>
    </row>
    <row r="29" spans="1:7" ht="12" customHeight="1" thickBot="1" x14ac:dyDescent="0.25">
      <c r="A29" s="191"/>
      <c r="B29" s="191"/>
      <c r="C29" s="202" t="s">
        <v>99</v>
      </c>
      <c r="D29" s="202"/>
      <c r="E29" s="2"/>
      <c r="G29" s="40" t="s">
        <v>54</v>
      </c>
    </row>
    <row r="30" spans="1:7" ht="12" customHeight="1" x14ac:dyDescent="0.2">
      <c r="A30" s="2"/>
      <c r="B30" s="2"/>
      <c r="C30" s="5" t="s">
        <v>9</v>
      </c>
      <c r="D30" s="6" t="s">
        <v>15</v>
      </c>
      <c r="E30" s="2"/>
      <c r="G30" s="40">
        <v>53</v>
      </c>
    </row>
    <row r="31" spans="1:7" ht="12" customHeight="1" thickBot="1" x14ac:dyDescent="0.25">
      <c r="A31" s="2"/>
      <c r="B31" s="2"/>
      <c r="C31" s="7"/>
      <c r="D31" s="8" t="s">
        <v>23</v>
      </c>
      <c r="E31" s="2"/>
      <c r="G31" s="40">
        <v>3</v>
      </c>
    </row>
    <row r="32" spans="1:7" ht="12" customHeight="1" x14ac:dyDescent="0.2">
      <c r="A32" s="2"/>
      <c r="B32" s="2"/>
      <c r="C32" s="9" t="s">
        <v>25</v>
      </c>
      <c r="D32" s="10">
        <v>1</v>
      </c>
      <c r="E32" s="2"/>
    </row>
    <row r="33" spans="1:7" ht="12" customHeight="1" thickBot="1" x14ac:dyDescent="0.25">
      <c r="A33" s="2"/>
      <c r="B33" s="192" t="s">
        <v>26</v>
      </c>
      <c r="C33" s="3">
        <v>0</v>
      </c>
      <c r="D33" s="11">
        <v>2</v>
      </c>
      <c r="E33" s="2"/>
    </row>
    <row r="34" spans="1:7" ht="12" customHeight="1" x14ac:dyDescent="0.2">
      <c r="A34" s="2"/>
      <c r="B34" s="192"/>
      <c r="C34" s="66">
        <v>5</v>
      </c>
      <c r="D34" s="67">
        <v>3</v>
      </c>
      <c r="E34" s="2"/>
    </row>
    <row r="35" spans="1:7" ht="12" customHeight="1" x14ac:dyDescent="0.2">
      <c r="A35" s="2"/>
      <c r="B35" s="192"/>
      <c r="C35" s="68">
        <v>8</v>
      </c>
      <c r="D35" s="69">
        <v>4</v>
      </c>
      <c r="E35" s="2"/>
    </row>
    <row r="36" spans="1:7" ht="12" customHeight="1" x14ac:dyDescent="0.2">
      <c r="A36" s="2"/>
      <c r="B36" s="192"/>
      <c r="C36" s="68">
        <v>10</v>
      </c>
      <c r="D36" s="69">
        <v>5</v>
      </c>
      <c r="E36" s="2"/>
    </row>
    <row r="37" spans="1:7" ht="12" customHeight="1" x14ac:dyDescent="0.2">
      <c r="A37" s="2"/>
      <c r="B37" s="192"/>
      <c r="C37" s="68">
        <v>12</v>
      </c>
      <c r="D37" s="69">
        <v>6</v>
      </c>
      <c r="E37" s="2"/>
    </row>
    <row r="38" spans="1:7" ht="12" customHeight="1" thickBot="1" x14ac:dyDescent="0.25">
      <c r="C38" s="13"/>
      <c r="D38" s="14" t="s">
        <v>27</v>
      </c>
    </row>
    <row r="39" spans="1:7" ht="12" customHeight="1" thickBot="1" x14ac:dyDescent="0.25"/>
    <row r="40" spans="1:7" ht="12" customHeight="1" x14ac:dyDescent="0.2">
      <c r="C40" s="34" t="s">
        <v>9</v>
      </c>
      <c r="D40" s="12" t="s">
        <v>15</v>
      </c>
      <c r="G40" s="40" t="s">
        <v>54</v>
      </c>
    </row>
    <row r="41" spans="1:7" ht="12" customHeight="1" x14ac:dyDescent="0.2">
      <c r="A41" s="191" t="s">
        <v>150</v>
      </c>
      <c r="B41" s="199"/>
      <c r="C41" s="35"/>
      <c r="D41" s="11" t="s">
        <v>23</v>
      </c>
      <c r="G41" s="40">
        <v>40</v>
      </c>
    </row>
    <row r="42" spans="1:7" ht="12" customHeight="1" thickBot="1" x14ac:dyDescent="0.25">
      <c r="A42" s="191"/>
      <c r="B42" s="199"/>
      <c r="C42" s="42" t="s">
        <v>47</v>
      </c>
      <c r="D42" s="43" t="s">
        <v>58</v>
      </c>
      <c r="G42" s="40">
        <v>15</v>
      </c>
    </row>
    <row r="43" spans="1:7" ht="12" customHeight="1" x14ac:dyDescent="0.2">
      <c r="C43" s="44">
        <v>1</v>
      </c>
      <c r="D43" s="45" t="s">
        <v>48</v>
      </c>
    </row>
    <row r="44" spans="1:7" ht="12" customHeight="1" x14ac:dyDescent="0.2">
      <c r="C44" s="37">
        <v>5</v>
      </c>
      <c r="D44" s="36">
        <v>3</v>
      </c>
    </row>
    <row r="45" spans="1:7" ht="12" customHeight="1" x14ac:dyDescent="0.2">
      <c r="C45" s="37">
        <v>8</v>
      </c>
      <c r="D45" s="36">
        <v>4</v>
      </c>
    </row>
    <row r="46" spans="1:7" ht="12" customHeight="1" x14ac:dyDescent="0.2">
      <c r="C46" s="37">
        <v>10</v>
      </c>
      <c r="D46" s="36">
        <v>5</v>
      </c>
    </row>
    <row r="47" spans="1:7" ht="12" customHeight="1" x14ac:dyDescent="0.2">
      <c r="C47" s="37">
        <v>12</v>
      </c>
      <c r="D47" s="36">
        <v>6</v>
      </c>
    </row>
    <row r="48" spans="1:7" ht="12" customHeight="1" thickBot="1" x14ac:dyDescent="0.25">
      <c r="C48" s="38"/>
      <c r="D48" s="14" t="s">
        <v>27</v>
      </c>
    </row>
    <row r="51" spans="1:8" ht="12" customHeight="1" thickBot="1" x14ac:dyDescent="0.25"/>
    <row r="52" spans="1:8" ht="12" customHeight="1" x14ac:dyDescent="0.2">
      <c r="A52" s="191" t="s">
        <v>60</v>
      </c>
      <c r="B52" s="199"/>
      <c r="C52" s="34" t="s">
        <v>9</v>
      </c>
      <c r="D52" s="12" t="s">
        <v>15</v>
      </c>
      <c r="H52" s="33"/>
    </row>
    <row r="53" spans="1:8" ht="12" customHeight="1" thickBot="1" x14ac:dyDescent="0.25">
      <c r="A53" s="191"/>
      <c r="B53" s="199"/>
      <c r="C53" s="35"/>
      <c r="D53" s="11" t="s">
        <v>23</v>
      </c>
      <c r="H53" s="33" t="s">
        <v>55</v>
      </c>
    </row>
    <row r="54" spans="1:8" ht="12" customHeight="1" x14ac:dyDescent="0.2">
      <c r="C54" s="44">
        <v>0</v>
      </c>
      <c r="D54" s="45" t="s">
        <v>48</v>
      </c>
      <c r="E54" t="s">
        <v>61</v>
      </c>
      <c r="H54" s="33" t="s">
        <v>56</v>
      </c>
    </row>
    <row r="55" spans="1:8" ht="12" customHeight="1" x14ac:dyDescent="0.2">
      <c r="B55" s="203" t="s">
        <v>26</v>
      </c>
      <c r="C55" s="37">
        <v>5</v>
      </c>
      <c r="D55" s="36">
        <v>3</v>
      </c>
      <c r="E55" t="s">
        <v>62</v>
      </c>
      <c r="H55" s="201"/>
    </row>
    <row r="56" spans="1:8" ht="12" customHeight="1" x14ac:dyDescent="0.2">
      <c r="B56" s="203"/>
      <c r="C56" s="37">
        <v>8</v>
      </c>
      <c r="D56" s="36">
        <v>4</v>
      </c>
      <c r="H56" s="201"/>
    </row>
    <row r="57" spans="1:8" ht="12" customHeight="1" x14ac:dyDescent="0.2">
      <c r="B57" s="203"/>
      <c r="C57" s="37">
        <v>10</v>
      </c>
      <c r="D57" s="36">
        <v>5</v>
      </c>
    </row>
    <row r="58" spans="1:8" ht="12" customHeight="1" x14ac:dyDescent="0.2">
      <c r="B58" s="203"/>
      <c r="C58" s="37">
        <v>12</v>
      </c>
      <c r="D58" s="36">
        <v>6</v>
      </c>
    </row>
    <row r="59" spans="1:8" ht="12" customHeight="1" x14ac:dyDescent="0.2">
      <c r="B59" s="203"/>
      <c r="C59" s="46">
        <v>15</v>
      </c>
      <c r="D59" s="43">
        <v>7</v>
      </c>
    </row>
    <row r="60" spans="1:8" ht="12" customHeight="1" thickBot="1" x14ac:dyDescent="0.25">
      <c r="B60" s="203"/>
      <c r="C60" s="38"/>
      <c r="D60" s="14" t="s">
        <v>20</v>
      </c>
    </row>
    <row r="63" spans="1:8" ht="12" customHeight="1" thickBot="1" x14ac:dyDescent="0.25"/>
    <row r="64" spans="1:8" ht="12" customHeight="1" x14ac:dyDescent="0.2">
      <c r="A64" s="191" t="s">
        <v>68</v>
      </c>
      <c r="B64" s="191"/>
      <c r="C64" s="34" t="s">
        <v>9</v>
      </c>
      <c r="D64" s="12" t="s">
        <v>15</v>
      </c>
      <c r="F64" s="33" t="s">
        <v>71</v>
      </c>
      <c r="G64" s="33"/>
    </row>
    <row r="65" spans="1:8" ht="12" customHeight="1" x14ac:dyDescent="0.2">
      <c r="A65" s="191"/>
      <c r="B65" s="191"/>
      <c r="C65" s="35"/>
      <c r="D65" s="11" t="s">
        <v>23</v>
      </c>
      <c r="F65" s="33" t="s">
        <v>72</v>
      </c>
      <c r="G65" s="33" t="s">
        <v>74</v>
      </c>
    </row>
    <row r="66" spans="1:8" ht="12" customHeight="1" x14ac:dyDescent="0.2">
      <c r="C66" s="37">
        <v>0</v>
      </c>
      <c r="D66" s="36" t="s">
        <v>69</v>
      </c>
      <c r="F66" s="33">
        <v>2</v>
      </c>
      <c r="G66" s="33" t="s">
        <v>73</v>
      </c>
    </row>
    <row r="67" spans="1:8" ht="12" customHeight="1" x14ac:dyDescent="0.2">
      <c r="B67" s="200" t="s">
        <v>26</v>
      </c>
      <c r="C67" s="37">
        <v>2</v>
      </c>
      <c r="D67" s="36" t="s">
        <v>70</v>
      </c>
      <c r="F67" s="33">
        <v>3</v>
      </c>
      <c r="G67" s="33" t="s">
        <v>77</v>
      </c>
    </row>
    <row r="68" spans="1:8" ht="12" customHeight="1" x14ac:dyDescent="0.2">
      <c r="B68" s="200"/>
      <c r="C68" s="37">
        <v>5</v>
      </c>
      <c r="D68" s="36">
        <v>3</v>
      </c>
      <c r="F68" s="33"/>
      <c r="G68" s="33"/>
    </row>
    <row r="69" spans="1:8" ht="12" customHeight="1" x14ac:dyDescent="0.2">
      <c r="B69" s="200"/>
      <c r="C69" s="37">
        <v>8</v>
      </c>
      <c r="D69" s="36">
        <v>4</v>
      </c>
      <c r="F69" s="33" t="s">
        <v>22</v>
      </c>
      <c r="G69" s="33" t="s">
        <v>75</v>
      </c>
    </row>
    <row r="70" spans="1:8" ht="12" customHeight="1" x14ac:dyDescent="0.2">
      <c r="B70" s="200"/>
      <c r="C70" s="37">
        <v>10</v>
      </c>
      <c r="D70" s="36">
        <v>5</v>
      </c>
      <c r="F70" s="33">
        <v>2</v>
      </c>
      <c r="G70" s="33" t="s">
        <v>76</v>
      </c>
    </row>
    <row r="71" spans="1:8" ht="12" customHeight="1" x14ac:dyDescent="0.2">
      <c r="B71" s="200"/>
      <c r="C71" s="37">
        <v>12</v>
      </c>
      <c r="D71" s="36">
        <v>6</v>
      </c>
      <c r="F71" s="33">
        <v>3</v>
      </c>
      <c r="G71" s="33" t="s">
        <v>77</v>
      </c>
    </row>
    <row r="72" spans="1:8" ht="12" customHeight="1" x14ac:dyDescent="0.2">
      <c r="B72" s="200"/>
      <c r="C72" s="49">
        <v>15</v>
      </c>
      <c r="D72" s="36">
        <v>7</v>
      </c>
      <c r="F72" s="33">
        <v>4</v>
      </c>
      <c r="G72" s="33" t="s">
        <v>24</v>
      </c>
    </row>
    <row r="73" spans="1:8" ht="12" customHeight="1" x14ac:dyDescent="0.2">
      <c r="B73" s="200"/>
      <c r="C73" s="37">
        <v>20</v>
      </c>
      <c r="D73" s="50">
        <v>8</v>
      </c>
    </row>
    <row r="74" spans="1:8" ht="12" customHeight="1" thickBot="1" x14ac:dyDescent="0.25">
      <c r="C74" s="38"/>
      <c r="D74" s="51" t="s">
        <v>20</v>
      </c>
    </row>
    <row r="76" spans="1:8" ht="12" customHeight="1" thickBot="1" x14ac:dyDescent="0.25"/>
    <row r="77" spans="1:8" ht="12" customHeight="1" x14ac:dyDescent="0.2">
      <c r="A77" s="191" t="s">
        <v>83</v>
      </c>
      <c r="B77" s="191"/>
      <c r="C77" s="54" t="s">
        <v>9</v>
      </c>
      <c r="D77" s="55" t="s">
        <v>84</v>
      </c>
      <c r="E77" s="55" t="s">
        <v>15</v>
      </c>
      <c r="F77" s="56" t="s">
        <v>5</v>
      </c>
      <c r="H77" s="63"/>
    </row>
    <row r="78" spans="1:8" ht="12" customHeight="1" x14ac:dyDescent="0.2">
      <c r="A78" s="191"/>
      <c r="B78" s="191"/>
      <c r="C78" s="57" t="s">
        <v>18</v>
      </c>
      <c r="D78" s="53" t="s">
        <v>85</v>
      </c>
      <c r="E78" s="52" t="s">
        <v>24</v>
      </c>
      <c r="F78" s="58" t="s">
        <v>85</v>
      </c>
      <c r="H78" s="64"/>
    </row>
    <row r="79" spans="1:8" ht="12" customHeight="1" x14ac:dyDescent="0.2">
      <c r="C79" s="57">
        <v>2</v>
      </c>
      <c r="D79" s="52">
        <v>25</v>
      </c>
      <c r="E79" s="52" t="s">
        <v>24</v>
      </c>
      <c r="F79" s="59" t="s">
        <v>6</v>
      </c>
      <c r="H79" s="65"/>
    </row>
    <row r="80" spans="1:8" ht="12" customHeight="1" x14ac:dyDescent="0.2">
      <c r="C80" s="57">
        <v>2</v>
      </c>
      <c r="D80" s="52">
        <v>26</v>
      </c>
      <c r="E80" s="52">
        <v>1</v>
      </c>
      <c r="F80" s="59" t="s">
        <v>6</v>
      </c>
    </row>
    <row r="81" spans="1:6" ht="12" customHeight="1" x14ac:dyDescent="0.2">
      <c r="C81" s="57">
        <v>3</v>
      </c>
      <c r="D81" s="52">
        <v>35</v>
      </c>
      <c r="E81" s="52" t="s">
        <v>48</v>
      </c>
      <c r="F81" s="59" t="s">
        <v>6</v>
      </c>
    </row>
    <row r="82" spans="1:6" ht="12" customHeight="1" x14ac:dyDescent="0.2">
      <c r="C82" s="57">
        <v>5</v>
      </c>
      <c r="D82" s="52">
        <v>40</v>
      </c>
      <c r="E82" s="52">
        <v>2</v>
      </c>
      <c r="F82" s="59" t="s">
        <v>6</v>
      </c>
    </row>
    <row r="83" spans="1:6" ht="12" customHeight="1" x14ac:dyDescent="0.2">
      <c r="C83" s="57">
        <v>5</v>
      </c>
      <c r="D83" s="52">
        <v>45</v>
      </c>
      <c r="E83" s="52">
        <v>3</v>
      </c>
      <c r="F83" s="59" t="s">
        <v>80</v>
      </c>
    </row>
    <row r="84" spans="1:6" ht="12" customHeight="1" x14ac:dyDescent="0.2">
      <c r="C84" s="60" t="s">
        <v>85</v>
      </c>
      <c r="D84" s="52">
        <v>60</v>
      </c>
      <c r="E84" s="52">
        <v>4</v>
      </c>
      <c r="F84" s="59" t="s">
        <v>80</v>
      </c>
    </row>
    <row r="85" spans="1:6" ht="12" customHeight="1" x14ac:dyDescent="0.2">
      <c r="C85" s="60" t="s">
        <v>85</v>
      </c>
      <c r="D85" s="52">
        <v>70</v>
      </c>
      <c r="E85" s="52">
        <v>5</v>
      </c>
      <c r="F85" s="59" t="s">
        <v>80</v>
      </c>
    </row>
    <row r="86" spans="1:6" ht="12" customHeight="1" thickBot="1" x14ac:dyDescent="0.25">
      <c r="C86" s="61" t="s">
        <v>85</v>
      </c>
      <c r="D86" s="62">
        <v>75</v>
      </c>
      <c r="E86" s="62">
        <v>6</v>
      </c>
      <c r="F86" s="51" t="s">
        <v>80</v>
      </c>
    </row>
    <row r="91" spans="1:6" ht="12" customHeight="1" x14ac:dyDescent="0.2">
      <c r="A91" t="s">
        <v>107</v>
      </c>
    </row>
    <row r="95" spans="1:6" ht="12" customHeight="1" x14ac:dyDescent="0.2">
      <c r="A95" s="74" t="s">
        <v>128</v>
      </c>
      <c r="B95" s="157">
        <v>44562</v>
      </c>
      <c r="C95" s="193">
        <v>2022</v>
      </c>
    </row>
    <row r="96" spans="1:6" ht="12" customHeight="1" x14ac:dyDescent="0.2">
      <c r="A96" s="74" t="s">
        <v>108</v>
      </c>
      <c r="B96" s="155">
        <v>44567</v>
      </c>
      <c r="C96" s="194"/>
    </row>
    <row r="97" spans="1:3" ht="12" customHeight="1" x14ac:dyDescent="0.2">
      <c r="A97" s="76" t="s">
        <v>109</v>
      </c>
      <c r="B97" s="155">
        <v>44666</v>
      </c>
      <c r="C97" s="194"/>
    </row>
    <row r="98" spans="1:3" ht="12" customHeight="1" x14ac:dyDescent="0.2">
      <c r="A98" s="76" t="s">
        <v>110</v>
      </c>
      <c r="B98" s="155">
        <v>44669</v>
      </c>
      <c r="C98" s="194"/>
    </row>
    <row r="99" spans="1:3" ht="12" customHeight="1" x14ac:dyDescent="0.2">
      <c r="A99" s="74" t="s">
        <v>111</v>
      </c>
      <c r="B99" s="155">
        <v>44707</v>
      </c>
      <c r="C99" s="194"/>
    </row>
    <row r="100" spans="1:3" ht="12" customHeight="1" x14ac:dyDescent="0.2">
      <c r="A100" s="74" t="s">
        <v>112</v>
      </c>
      <c r="B100" s="155">
        <v>44718</v>
      </c>
      <c r="C100" s="194"/>
    </row>
    <row r="101" spans="1:3" ht="12" customHeight="1" x14ac:dyDescent="0.2">
      <c r="A101" s="74" t="s">
        <v>113</v>
      </c>
      <c r="B101" s="155">
        <v>44728</v>
      </c>
      <c r="C101" s="194"/>
    </row>
    <row r="102" spans="1:3" ht="12" customHeight="1" x14ac:dyDescent="0.2">
      <c r="A102" s="74" t="s">
        <v>114</v>
      </c>
      <c r="B102" s="155">
        <v>44837</v>
      </c>
      <c r="C102" s="194"/>
    </row>
    <row r="103" spans="1:3" ht="12" customHeight="1" x14ac:dyDescent="0.2">
      <c r="A103" s="74" t="s">
        <v>115</v>
      </c>
      <c r="B103" s="155">
        <v>44866</v>
      </c>
      <c r="C103" s="194"/>
    </row>
    <row r="104" spans="1:3" ht="12" customHeight="1" x14ac:dyDescent="0.2">
      <c r="A104" s="74" t="s">
        <v>116</v>
      </c>
      <c r="B104" s="155">
        <v>44920</v>
      </c>
      <c r="C104" s="194"/>
    </row>
    <row r="105" spans="1:3" ht="12" customHeight="1" x14ac:dyDescent="0.2">
      <c r="A105" s="74" t="s">
        <v>117</v>
      </c>
      <c r="B105" s="155">
        <v>44921</v>
      </c>
      <c r="C105" s="194"/>
    </row>
    <row r="106" spans="1:3" ht="12" customHeight="1" x14ac:dyDescent="0.2">
      <c r="A106" s="74" t="s">
        <v>108</v>
      </c>
      <c r="B106" s="155">
        <v>44932</v>
      </c>
      <c r="C106" s="195">
        <v>2023</v>
      </c>
    </row>
    <row r="107" spans="1:3" ht="12" customHeight="1" x14ac:dyDescent="0.2">
      <c r="A107" s="76" t="s">
        <v>109</v>
      </c>
      <c r="B107" s="155">
        <v>45022</v>
      </c>
      <c r="C107" s="195"/>
    </row>
    <row r="108" spans="1:3" ht="12" customHeight="1" x14ac:dyDescent="0.2">
      <c r="A108" s="76" t="s">
        <v>110</v>
      </c>
      <c r="B108" s="155">
        <v>45023</v>
      </c>
      <c r="C108" s="195"/>
    </row>
    <row r="109" spans="1:3" ht="12" customHeight="1" x14ac:dyDescent="0.2">
      <c r="A109" s="77">
        <v>40664</v>
      </c>
      <c r="B109" s="155">
        <v>45026</v>
      </c>
      <c r="C109" s="195"/>
    </row>
    <row r="110" spans="1:3" ht="12" customHeight="1" x14ac:dyDescent="0.2">
      <c r="A110" s="74" t="s">
        <v>111</v>
      </c>
      <c r="B110" s="155">
        <v>45047</v>
      </c>
      <c r="C110" s="195"/>
    </row>
    <row r="111" spans="1:3" ht="12" customHeight="1" x14ac:dyDescent="0.2">
      <c r="A111" s="74" t="s">
        <v>112</v>
      </c>
      <c r="B111" s="155">
        <v>45064</v>
      </c>
      <c r="C111" s="195"/>
    </row>
    <row r="112" spans="1:3" ht="12" customHeight="1" x14ac:dyDescent="0.2">
      <c r="A112" s="74" t="s">
        <v>113</v>
      </c>
      <c r="B112" s="155">
        <v>45075</v>
      </c>
      <c r="C112" s="195"/>
    </row>
    <row r="113" spans="1:5" ht="12" customHeight="1" x14ac:dyDescent="0.2">
      <c r="A113" s="74" t="s">
        <v>114</v>
      </c>
      <c r="B113" s="155">
        <v>45085</v>
      </c>
      <c r="C113" s="195"/>
    </row>
    <row r="114" spans="1:5" ht="12" customHeight="1" x14ac:dyDescent="0.2">
      <c r="A114" s="74" t="s">
        <v>173</v>
      </c>
      <c r="B114" s="155">
        <v>45202</v>
      </c>
      <c r="C114" s="195"/>
    </row>
    <row r="115" spans="1:5" ht="12" customHeight="1" x14ac:dyDescent="0.2">
      <c r="A115" s="156" t="s">
        <v>115</v>
      </c>
      <c r="B115" s="155">
        <v>45231</v>
      </c>
      <c r="C115" s="195"/>
    </row>
    <row r="116" spans="1:5" ht="12" customHeight="1" x14ac:dyDescent="0.2">
      <c r="A116" s="74" t="s">
        <v>116</v>
      </c>
      <c r="B116" s="157">
        <v>45285</v>
      </c>
      <c r="C116" s="195"/>
    </row>
    <row r="117" spans="1:5" ht="12" customHeight="1" x14ac:dyDescent="0.2">
      <c r="A117" s="74" t="s">
        <v>117</v>
      </c>
      <c r="B117" s="157">
        <v>45286</v>
      </c>
      <c r="C117" s="195"/>
    </row>
    <row r="118" spans="1:5" ht="12" customHeight="1" x14ac:dyDescent="0.2">
      <c r="A118" s="74" t="s">
        <v>159</v>
      </c>
      <c r="B118" s="158">
        <v>45292</v>
      </c>
      <c r="C118" s="193">
        <v>2024</v>
      </c>
      <c r="E118" s="129"/>
    </row>
    <row r="119" spans="1:5" ht="12" customHeight="1" x14ac:dyDescent="0.2">
      <c r="A119" s="74" t="s">
        <v>108</v>
      </c>
      <c r="B119" s="158">
        <v>45297</v>
      </c>
      <c r="C119" s="194"/>
    </row>
    <row r="120" spans="1:5" ht="12" customHeight="1" x14ac:dyDescent="0.2">
      <c r="A120" s="74" t="s">
        <v>160</v>
      </c>
      <c r="B120" s="75">
        <v>45380</v>
      </c>
      <c r="C120" s="194"/>
    </row>
    <row r="121" spans="1:5" ht="12" customHeight="1" x14ac:dyDescent="0.2">
      <c r="A121" s="74" t="s">
        <v>161</v>
      </c>
      <c r="B121" s="75">
        <v>45383</v>
      </c>
      <c r="C121" s="194"/>
    </row>
    <row r="122" spans="1:5" ht="12" customHeight="1" x14ac:dyDescent="0.2">
      <c r="A122" s="74" t="s">
        <v>162</v>
      </c>
      <c r="B122" s="75">
        <v>45413</v>
      </c>
      <c r="C122" s="194"/>
    </row>
    <row r="123" spans="1:5" ht="12" customHeight="1" x14ac:dyDescent="0.2">
      <c r="A123" s="74" t="s">
        <v>163</v>
      </c>
      <c r="B123" s="75">
        <v>45421</v>
      </c>
      <c r="C123" s="194"/>
    </row>
    <row r="124" spans="1:5" ht="12" customHeight="1" x14ac:dyDescent="0.2">
      <c r="A124" s="74" t="s">
        <v>164</v>
      </c>
      <c r="B124" s="75">
        <v>45442</v>
      </c>
      <c r="C124" s="194"/>
    </row>
    <row r="125" spans="1:5" ht="12" customHeight="1" x14ac:dyDescent="0.2">
      <c r="A125" s="74" t="s">
        <v>165</v>
      </c>
      <c r="B125" s="75">
        <v>45442</v>
      </c>
      <c r="C125" s="194"/>
    </row>
    <row r="126" spans="1:5" ht="12" customHeight="1" x14ac:dyDescent="0.2">
      <c r="A126" s="74" t="s">
        <v>166</v>
      </c>
      <c r="B126" s="75">
        <v>45519</v>
      </c>
      <c r="C126" s="194"/>
    </row>
    <row r="127" spans="1:5" ht="12" customHeight="1" x14ac:dyDescent="0.2">
      <c r="A127" s="74" t="s">
        <v>167</v>
      </c>
      <c r="B127" s="75">
        <v>45568</v>
      </c>
      <c r="C127" s="194"/>
    </row>
    <row r="128" spans="1:5" ht="12" customHeight="1" x14ac:dyDescent="0.2">
      <c r="A128" s="74" t="s">
        <v>168</v>
      </c>
      <c r="B128" s="75">
        <v>45597</v>
      </c>
      <c r="C128" s="194"/>
    </row>
    <row r="129" spans="1:4" ht="12" customHeight="1" x14ac:dyDescent="0.2">
      <c r="A129" s="74" t="s">
        <v>169</v>
      </c>
      <c r="B129" s="75">
        <v>45651</v>
      </c>
      <c r="C129" s="194"/>
    </row>
    <row r="130" spans="1:4" ht="12" customHeight="1" x14ac:dyDescent="0.2">
      <c r="A130" s="74" t="s">
        <v>170</v>
      </c>
      <c r="B130" s="75">
        <v>45652</v>
      </c>
      <c r="C130" s="196"/>
      <c r="D130" s="130"/>
    </row>
  </sheetData>
  <mergeCells count="15">
    <mergeCell ref="H55:H56"/>
    <mergeCell ref="C28:D28"/>
    <mergeCell ref="C29:D29"/>
    <mergeCell ref="A52:B53"/>
    <mergeCell ref="B55:B60"/>
    <mergeCell ref="A15:B16"/>
    <mergeCell ref="A28:B29"/>
    <mergeCell ref="A41:B42"/>
    <mergeCell ref="A64:B65"/>
    <mergeCell ref="B67:B73"/>
    <mergeCell ref="A77:B78"/>
    <mergeCell ref="B33:B37"/>
    <mergeCell ref="C95:C105"/>
    <mergeCell ref="C106:C117"/>
    <mergeCell ref="C118:C130"/>
  </mergeCells>
  <phoneticPr fontId="1" type="noConversion"/>
  <hyperlinks>
    <hyperlink ref="A97" r:id="rId1" tooltip="mehr zu Ostern" display="http://www.ferien-und-feiertage.de/ostern_56.html" xr:uid="{00000000-0004-0000-0200-000000000000}"/>
    <hyperlink ref="A98" r:id="rId2" tooltip="mehr zu Ostern" display="http://www.ferien-und-feiertage.de/ostern_56.html" xr:uid="{00000000-0004-0000-0200-000001000000}"/>
    <hyperlink ref="A107" r:id="rId3" tooltip="mehr zu Ostern" display="http://www.ferien-und-feiertage.de/ostern_56.html" xr:uid="{00000000-0004-0000-0200-000002000000}"/>
    <hyperlink ref="A108" r:id="rId4" tooltip="mehr zu Ostern" display="http://www.ferien-und-feiertage.de/ostern_56.html" xr:uid="{00000000-0004-0000-0200-000003000000}"/>
  </hyperlinks>
  <pageMargins left="0.78740157499999996" right="0.78740157499999996" top="0.984251969" bottom="0.984251969" header="0.4921259845" footer="0.4921259845"/>
  <pageSetup paperSize="9" orientation="portrait" r:id="rId5"/>
  <headerFooter alignWithMargins="0"/>
  <rowBreaks count="1" manualBreakCount="1">
    <brk id="89" max="16383" man="1"/>
  </rowBreaks>
  <legacyDrawing r:id="rId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20</vt:i4>
      </vt:variant>
    </vt:vector>
  </HeadingPairs>
  <TitlesOfParts>
    <vt:vector size="23" baseType="lpstr">
      <vt:lpstr>Kündigungsfristen_Rechner</vt:lpstr>
      <vt:lpstr>Künd_Frist</vt:lpstr>
      <vt:lpstr>Fristentab</vt:lpstr>
      <vt:lpstr>DAT_EIN</vt:lpstr>
      <vt:lpstr>DAT_FRIST_END</vt:lpstr>
      <vt:lpstr>DAT_GEB</vt:lpstr>
      <vt:lpstr>DAT_KÜND</vt:lpstr>
      <vt:lpstr>DAT_KÜND_END</vt:lpstr>
      <vt:lpstr>Fristentab!Druckbereich</vt:lpstr>
      <vt:lpstr>Künd_Frist!Druckbereich</vt:lpstr>
      <vt:lpstr>Kündigungsfristen_Rechner!Druckbereich</vt:lpstr>
      <vt:lpstr>FRIST_ART</vt:lpstr>
      <vt:lpstr>FRIST_ENDE</vt:lpstr>
      <vt:lpstr>FRIST_WERT</vt:lpstr>
      <vt:lpstr>FRISTEN_MATRIX</vt:lpstr>
      <vt:lpstr>TAB_BAT</vt:lpstr>
      <vt:lpstr>TAB_BGB</vt:lpstr>
      <vt:lpstr>TAB_CHEMIE</vt:lpstr>
      <vt:lpstr>TAB_EINZELHANDEL</vt:lpstr>
      <vt:lpstr>TAB_HOGA</vt:lpstr>
      <vt:lpstr>TAB_METALL</vt:lpstr>
      <vt:lpstr>TAB_QUART</vt:lpstr>
      <vt:lpstr>WOCHENFEIERTAGE</vt:lpstr>
    </vt:vector>
  </TitlesOfParts>
  <Company>Gnann, Thauer &amp; Kollegen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Kurt Höllwarth</dc:creator>
  <cp:lastModifiedBy>Kurt.Hoellwarth</cp:lastModifiedBy>
  <cp:lastPrinted>2022-10-21T14:13:02Z</cp:lastPrinted>
  <dcterms:created xsi:type="dcterms:W3CDTF">2002-10-21T07:43:35Z</dcterms:created>
  <dcterms:modified xsi:type="dcterms:W3CDTF">2022-10-21T14:42:21Z</dcterms:modified>
</cp:coreProperties>
</file>